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lma\OneDrive\Desktop\Mulgrave\Stats\"/>
    </mc:Choice>
  </mc:AlternateContent>
  <xr:revisionPtr revIDLastSave="0" documentId="13_ncr:1_{636B4CE2-371F-4463-A919-0BCFCF3C3076}" xr6:coauthVersionLast="47" xr6:coauthVersionMax="47" xr10:uidLastSave="{00000000-0000-0000-0000-000000000000}"/>
  <bookViews>
    <workbookView xWindow="-110" yWindow="-110" windowWidth="19420" windowHeight="11500" tabRatio="447" xr2:uid="{20E6F921-04A5-4017-BDDC-514D53FAF2FA}"/>
  </bookViews>
  <sheets>
    <sheet name="Totals" sheetId="10" r:id="rId1"/>
    <sheet name="All Time Rankings" sheetId="13" r:id="rId2"/>
    <sheet name="Active Rankings" sheetId="14" r:id="rId3"/>
    <sheet name="T20 Totals" sheetId="11" r:id="rId4"/>
    <sheet name="All Time T20 Rankings" sheetId="1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7" i="11" l="1"/>
  <c r="J124" i="11"/>
  <c r="E124" i="11"/>
  <c r="J123" i="11"/>
  <c r="E123" i="11"/>
  <c r="K122" i="11"/>
  <c r="J122" i="11"/>
  <c r="E122" i="11"/>
  <c r="J121" i="11"/>
  <c r="E121" i="11"/>
  <c r="K120" i="11"/>
  <c r="J120" i="11"/>
  <c r="E120" i="11"/>
  <c r="J119" i="11"/>
  <c r="E119" i="11"/>
  <c r="K118" i="11"/>
  <c r="J118" i="11"/>
  <c r="E118" i="11"/>
  <c r="J117" i="11"/>
  <c r="E117" i="11"/>
  <c r="J116" i="11"/>
  <c r="E116" i="11"/>
  <c r="K115" i="11"/>
  <c r="J115" i="11"/>
  <c r="H115" i="11"/>
  <c r="E115" i="11"/>
  <c r="K114" i="11"/>
  <c r="J114" i="11"/>
  <c r="E114" i="11"/>
  <c r="K113" i="11"/>
  <c r="J113" i="11"/>
  <c r="H113" i="11"/>
  <c r="E113" i="11"/>
  <c r="J112" i="11"/>
  <c r="E112" i="11"/>
  <c r="J111" i="11"/>
  <c r="E111" i="11"/>
  <c r="K110" i="11"/>
  <c r="H110" i="11"/>
  <c r="J110" i="11" s="1"/>
  <c r="E110" i="11"/>
  <c r="K109" i="11"/>
  <c r="J109" i="11"/>
  <c r="E109" i="11"/>
  <c r="J108" i="11"/>
  <c r="E108" i="11"/>
  <c r="J107" i="11"/>
  <c r="E107" i="11"/>
  <c r="J106" i="11"/>
  <c r="E106" i="11"/>
  <c r="J105" i="11"/>
  <c r="E105" i="11"/>
  <c r="J104" i="11"/>
  <c r="E104" i="11"/>
  <c r="J103" i="11"/>
  <c r="E103" i="11"/>
  <c r="H102" i="11"/>
  <c r="J102" i="11" s="1"/>
  <c r="E102" i="11"/>
  <c r="K101" i="11"/>
  <c r="J101" i="11"/>
  <c r="E101" i="11"/>
  <c r="J100" i="11"/>
  <c r="E100" i="11"/>
  <c r="J99" i="11"/>
  <c r="E99" i="11"/>
  <c r="K98" i="11"/>
  <c r="H98" i="11"/>
  <c r="J98" i="11" s="1"/>
  <c r="E98" i="11"/>
  <c r="J97" i="11"/>
  <c r="E97" i="11"/>
  <c r="J96" i="11"/>
  <c r="E96" i="11"/>
  <c r="K95" i="11"/>
  <c r="H95" i="11"/>
  <c r="J95" i="11" s="1"/>
  <c r="E95" i="11"/>
  <c r="J94" i="11"/>
  <c r="E94" i="11"/>
  <c r="K92" i="11"/>
  <c r="J92" i="11"/>
  <c r="E92" i="11"/>
  <c r="J93" i="11"/>
  <c r="E93" i="11"/>
  <c r="K91" i="11"/>
  <c r="H91" i="11"/>
  <c r="J91" i="11" s="1"/>
  <c r="E91" i="11"/>
  <c r="J90" i="11"/>
  <c r="E90" i="11"/>
  <c r="J89" i="11"/>
  <c r="E89" i="11"/>
  <c r="J88" i="11"/>
  <c r="E88" i="11"/>
  <c r="W87" i="11"/>
  <c r="V87" i="11"/>
  <c r="U87" i="11"/>
  <c r="J87" i="11"/>
  <c r="E87" i="11"/>
  <c r="W86" i="11"/>
  <c r="V86" i="11"/>
  <c r="U86" i="11"/>
  <c r="K86" i="11"/>
  <c r="J86" i="11"/>
  <c r="E86" i="11"/>
  <c r="T85" i="11"/>
  <c r="U85" i="11" s="1"/>
  <c r="R85" i="11"/>
  <c r="W85" i="11" s="1"/>
  <c r="J85" i="11"/>
  <c r="E85" i="11"/>
  <c r="W84" i="11"/>
  <c r="V84" i="11"/>
  <c r="U84" i="11"/>
  <c r="J83" i="11"/>
  <c r="E83" i="11"/>
  <c r="W83" i="11"/>
  <c r="V83" i="11"/>
  <c r="U83" i="11"/>
  <c r="J84" i="11"/>
  <c r="E84" i="11"/>
  <c r="W82" i="11"/>
  <c r="V82" i="11"/>
  <c r="U82" i="11"/>
  <c r="J82" i="11"/>
  <c r="E82" i="11"/>
  <c r="W81" i="11"/>
  <c r="V81" i="11"/>
  <c r="U81" i="11"/>
  <c r="J81" i="11"/>
  <c r="E81" i="11"/>
  <c r="W80" i="11"/>
  <c r="T80" i="11"/>
  <c r="U80" i="11" s="1"/>
  <c r="K80" i="11"/>
  <c r="J80" i="11"/>
  <c r="E80" i="11"/>
  <c r="W79" i="11"/>
  <c r="V79" i="11"/>
  <c r="U79" i="11"/>
  <c r="J79" i="11"/>
  <c r="E79" i="11"/>
  <c r="W78" i="11"/>
  <c r="V78" i="11"/>
  <c r="U78" i="11"/>
  <c r="H78" i="11"/>
  <c r="J78" i="11" s="1"/>
  <c r="E78" i="11"/>
  <c r="W77" i="11"/>
  <c r="V77" i="11"/>
  <c r="U77" i="11"/>
  <c r="K77" i="11"/>
  <c r="H77" i="11"/>
  <c r="J77" i="11" s="1"/>
  <c r="E77" i="11"/>
  <c r="W76" i="11"/>
  <c r="V76" i="11"/>
  <c r="U76" i="11"/>
  <c r="T76" i="11"/>
  <c r="J76" i="11"/>
  <c r="E76" i="11"/>
  <c r="W75" i="11"/>
  <c r="V75" i="11"/>
  <c r="U75" i="11"/>
  <c r="J75" i="11"/>
  <c r="E75" i="11"/>
  <c r="W74" i="11"/>
  <c r="V74" i="11"/>
  <c r="U74" i="11"/>
  <c r="J74" i="11"/>
  <c r="E74" i="11"/>
  <c r="W73" i="11"/>
  <c r="V73" i="11"/>
  <c r="U73" i="11"/>
  <c r="J73" i="11"/>
  <c r="E73" i="11"/>
  <c r="W72" i="11"/>
  <c r="V72" i="11"/>
  <c r="T72" i="11"/>
  <c r="U72" i="11" s="1"/>
  <c r="K72" i="11"/>
  <c r="J72" i="11"/>
  <c r="E72" i="11"/>
  <c r="AE71" i="11"/>
  <c r="W71" i="11"/>
  <c r="V71" i="11"/>
  <c r="U71" i="11"/>
  <c r="J71" i="11"/>
  <c r="E71" i="11"/>
  <c r="AE70" i="11"/>
  <c r="W70" i="11"/>
  <c r="V70" i="11"/>
  <c r="U70" i="11"/>
  <c r="J70" i="11"/>
  <c r="E70" i="11"/>
  <c r="AE69" i="11"/>
  <c r="W69" i="11"/>
  <c r="V69" i="11"/>
  <c r="U69" i="11"/>
  <c r="J69" i="11"/>
  <c r="E69" i="11"/>
  <c r="AE68" i="11"/>
  <c r="W68" i="11"/>
  <c r="V68" i="11"/>
  <c r="U68" i="11"/>
  <c r="J68" i="11"/>
  <c r="E68" i="11"/>
  <c r="AE67" i="11"/>
  <c r="W67" i="11"/>
  <c r="V67" i="11"/>
  <c r="U67" i="11"/>
  <c r="J67" i="11"/>
  <c r="E67" i="11"/>
  <c r="W66" i="11"/>
  <c r="V66" i="11"/>
  <c r="T66" i="11"/>
  <c r="U66" i="11" s="1"/>
  <c r="R66" i="11"/>
  <c r="J66" i="11"/>
  <c r="E66" i="11"/>
  <c r="AE65" i="11"/>
  <c r="W65" i="11"/>
  <c r="T65" i="11"/>
  <c r="V65" i="11" s="1"/>
  <c r="J65" i="11"/>
  <c r="E65" i="11"/>
  <c r="AE64" i="11"/>
  <c r="W64" i="11"/>
  <c r="V64" i="11"/>
  <c r="U64" i="11"/>
  <c r="K64" i="11"/>
  <c r="J64" i="11"/>
  <c r="E64" i="11"/>
  <c r="AE63" i="11"/>
  <c r="U63" i="11"/>
  <c r="J63" i="11"/>
  <c r="E63" i="11"/>
  <c r="W62" i="11"/>
  <c r="V62" i="11"/>
  <c r="U62" i="11"/>
  <c r="J62" i="11"/>
  <c r="E62" i="11"/>
  <c r="AE61" i="11"/>
  <c r="W61" i="11"/>
  <c r="T61" i="11"/>
  <c r="V61" i="11" s="1"/>
  <c r="J61" i="11"/>
  <c r="E61" i="11"/>
  <c r="AE60" i="11"/>
  <c r="W60" i="11"/>
  <c r="V60" i="11"/>
  <c r="U60" i="11"/>
  <c r="K60" i="11"/>
  <c r="H60" i="11"/>
  <c r="J60" i="11" s="1"/>
  <c r="E60" i="11"/>
  <c r="W59" i="11"/>
  <c r="V59" i="11"/>
  <c r="U59" i="11"/>
  <c r="T59" i="11"/>
  <c r="K59" i="11"/>
  <c r="J59" i="11"/>
  <c r="E59" i="11"/>
  <c r="AE58" i="11"/>
  <c r="W58" i="11"/>
  <c r="V58" i="11"/>
  <c r="U58" i="11"/>
  <c r="J58" i="11"/>
  <c r="E58" i="11"/>
  <c r="AE57" i="11"/>
  <c r="W57" i="11"/>
  <c r="V57" i="11"/>
  <c r="U57" i="11"/>
  <c r="K57" i="11"/>
  <c r="H57" i="11"/>
  <c r="J57" i="11" s="1"/>
  <c r="E57" i="11"/>
  <c r="AE56" i="11"/>
  <c r="W56" i="11"/>
  <c r="V56" i="11"/>
  <c r="U56" i="11"/>
  <c r="J56" i="11"/>
  <c r="E56" i="11"/>
  <c r="W55" i="11"/>
  <c r="V55" i="11"/>
  <c r="U55" i="11"/>
  <c r="J55" i="11"/>
  <c r="E55" i="11"/>
  <c r="AE54" i="11"/>
  <c r="W54" i="11"/>
  <c r="T54" i="11"/>
  <c r="U54" i="11" s="1"/>
  <c r="J54" i="11"/>
  <c r="E54" i="11"/>
  <c r="AE53" i="11"/>
  <c r="W53" i="11"/>
  <c r="V53" i="11"/>
  <c r="U53" i="11"/>
  <c r="K53" i="11"/>
  <c r="J53" i="11"/>
  <c r="E53" i="11"/>
  <c r="AE52" i="11"/>
  <c r="W52" i="11"/>
  <c r="V52" i="11"/>
  <c r="U52" i="11"/>
  <c r="K52" i="11"/>
  <c r="J52" i="11"/>
  <c r="E52" i="11"/>
  <c r="AE51" i="11"/>
  <c r="W51" i="11"/>
  <c r="V51" i="11"/>
  <c r="U51" i="11"/>
  <c r="J49" i="11"/>
  <c r="E49" i="11"/>
  <c r="AE50" i="11"/>
  <c r="W50" i="11"/>
  <c r="V50" i="11"/>
  <c r="U50" i="11"/>
  <c r="K50" i="11"/>
  <c r="J50" i="11"/>
  <c r="E50" i="11"/>
  <c r="AE49" i="11"/>
  <c r="W49" i="11"/>
  <c r="V49" i="11"/>
  <c r="U49" i="11"/>
  <c r="J51" i="11"/>
  <c r="E51" i="11"/>
  <c r="AE48" i="11"/>
  <c r="W48" i="11"/>
  <c r="V48" i="11"/>
  <c r="U48" i="11"/>
  <c r="K48" i="11"/>
  <c r="J48" i="11"/>
  <c r="E48" i="11"/>
  <c r="W47" i="11"/>
  <c r="V47" i="11"/>
  <c r="U47" i="11"/>
  <c r="J47" i="11"/>
  <c r="E47" i="11"/>
  <c r="AE46" i="11"/>
  <c r="W46" i="11"/>
  <c r="T46" i="11"/>
  <c r="U46" i="11" s="1"/>
  <c r="J46" i="11"/>
  <c r="E46" i="11"/>
  <c r="AE45" i="11"/>
  <c r="W45" i="11"/>
  <c r="V45" i="11"/>
  <c r="U45" i="11"/>
  <c r="J45" i="11"/>
  <c r="E45" i="11"/>
  <c r="AE44" i="11"/>
  <c r="W44" i="11"/>
  <c r="T44" i="11"/>
  <c r="V44" i="11" s="1"/>
  <c r="R44" i="11"/>
  <c r="K44" i="11"/>
  <c r="J44" i="11"/>
  <c r="E44" i="11"/>
  <c r="AE43" i="11"/>
  <c r="W43" i="11"/>
  <c r="V43" i="11"/>
  <c r="U43" i="11"/>
  <c r="K43" i="11"/>
  <c r="J43" i="11"/>
  <c r="E43" i="11"/>
  <c r="AE42" i="11"/>
  <c r="W42" i="11"/>
  <c r="V42" i="11"/>
  <c r="U42" i="11"/>
  <c r="J42" i="11"/>
  <c r="E42" i="11"/>
  <c r="AE41" i="11"/>
  <c r="W41" i="11"/>
  <c r="V41" i="11"/>
  <c r="U41" i="11"/>
  <c r="J41" i="11"/>
  <c r="E41" i="11"/>
  <c r="AE40" i="11"/>
  <c r="W40" i="11"/>
  <c r="V40" i="11"/>
  <c r="U40" i="11"/>
  <c r="K40" i="11"/>
  <c r="H40" i="11"/>
  <c r="J40" i="11" s="1"/>
  <c r="E40" i="11"/>
  <c r="AE39" i="11"/>
  <c r="W39" i="11"/>
  <c r="V39" i="11"/>
  <c r="U39" i="11"/>
  <c r="K39" i="11"/>
  <c r="J39" i="11"/>
  <c r="E39" i="11"/>
  <c r="AE38" i="11"/>
  <c r="V38" i="11"/>
  <c r="T38" i="11"/>
  <c r="R38" i="11"/>
  <c r="W38" i="11" s="1"/>
  <c r="J38" i="11"/>
  <c r="E38" i="11"/>
  <c r="AE37" i="11"/>
  <c r="W37" i="11"/>
  <c r="V37" i="11"/>
  <c r="U37" i="11"/>
  <c r="J37" i="11"/>
  <c r="E37" i="11"/>
  <c r="AE36" i="11"/>
  <c r="W34" i="11"/>
  <c r="V34" i="11"/>
  <c r="U34" i="11"/>
  <c r="J36" i="11"/>
  <c r="E36" i="11"/>
  <c r="AE35" i="11"/>
  <c r="W35" i="11"/>
  <c r="V35" i="11"/>
  <c r="U35" i="11"/>
  <c r="T35" i="11"/>
  <c r="J33" i="11"/>
  <c r="E33" i="11"/>
  <c r="AE34" i="11"/>
  <c r="W36" i="11"/>
  <c r="V36" i="11"/>
  <c r="U36" i="11"/>
  <c r="J31" i="11"/>
  <c r="E31" i="11"/>
  <c r="AE33" i="11"/>
  <c r="W33" i="11"/>
  <c r="V33" i="11"/>
  <c r="T33" i="11"/>
  <c r="U33" i="11" s="1"/>
  <c r="J32" i="11"/>
  <c r="E32" i="11"/>
  <c r="AE32" i="11"/>
  <c r="W32" i="11"/>
  <c r="V32" i="11"/>
  <c r="U32" i="11"/>
  <c r="K35" i="11"/>
  <c r="H35" i="11"/>
  <c r="J35" i="11" s="1"/>
  <c r="E35" i="11"/>
  <c r="AE31" i="11"/>
  <c r="W31" i="11"/>
  <c r="V31" i="11"/>
  <c r="U31" i="11"/>
  <c r="K34" i="11"/>
  <c r="J34" i="11"/>
  <c r="E34" i="11"/>
  <c r="W30" i="11"/>
  <c r="V30" i="11"/>
  <c r="U30" i="11"/>
  <c r="J30" i="11"/>
  <c r="E30" i="11"/>
  <c r="AE29" i="11"/>
  <c r="W29" i="11"/>
  <c r="V29" i="11"/>
  <c r="U29" i="11"/>
  <c r="H29" i="11"/>
  <c r="J29" i="11" s="1"/>
  <c r="E29" i="11"/>
  <c r="AE28" i="11"/>
  <c r="W28" i="11"/>
  <c r="V28" i="11"/>
  <c r="U28" i="11"/>
  <c r="J27" i="11"/>
  <c r="E27" i="11"/>
  <c r="AE27" i="11"/>
  <c r="W27" i="11"/>
  <c r="V27" i="11"/>
  <c r="T27" i="11"/>
  <c r="U27" i="11" s="1"/>
  <c r="J28" i="11"/>
  <c r="E28" i="11"/>
  <c r="AE26" i="11"/>
  <c r="W26" i="11"/>
  <c r="V26" i="11"/>
  <c r="U26" i="11"/>
  <c r="J26" i="11"/>
  <c r="E26" i="11"/>
  <c r="AE25" i="11"/>
  <c r="W25" i="11"/>
  <c r="V25" i="11"/>
  <c r="U25" i="11"/>
  <c r="H25" i="11"/>
  <c r="J25" i="11" s="1"/>
  <c r="E25" i="11"/>
  <c r="AE24" i="11"/>
  <c r="W24" i="11"/>
  <c r="V24" i="11"/>
  <c r="T24" i="11"/>
  <c r="U24" i="11" s="1"/>
  <c r="K24" i="11"/>
  <c r="J24" i="11"/>
  <c r="E24" i="11"/>
  <c r="AE20" i="11"/>
  <c r="T23" i="11"/>
  <c r="V23" i="11" s="1"/>
  <c r="R23" i="11"/>
  <c r="W23" i="11" s="1"/>
  <c r="J23" i="11"/>
  <c r="E23" i="11"/>
  <c r="W22" i="11"/>
  <c r="T22" i="11"/>
  <c r="V22" i="11" s="1"/>
  <c r="J22" i="11"/>
  <c r="E22" i="11"/>
  <c r="AE23" i="11"/>
  <c r="W21" i="11"/>
  <c r="V21" i="11"/>
  <c r="U21" i="11"/>
  <c r="T21" i="11"/>
  <c r="K21" i="11"/>
  <c r="J21" i="11"/>
  <c r="H21" i="11"/>
  <c r="E21" i="11"/>
  <c r="AE22" i="11"/>
  <c r="U20" i="11"/>
  <c r="H20" i="11"/>
  <c r="E20" i="11"/>
  <c r="AE19" i="11"/>
  <c r="U19" i="11"/>
  <c r="K19" i="11"/>
  <c r="H19" i="11"/>
  <c r="J19" i="11" s="1"/>
  <c r="E19" i="11"/>
  <c r="AE18" i="11"/>
  <c r="W18" i="11"/>
  <c r="V18" i="11"/>
  <c r="U18" i="11"/>
  <c r="T18" i="11"/>
  <c r="R18" i="11"/>
  <c r="J18" i="11"/>
  <c r="E18" i="11"/>
  <c r="AE17" i="11"/>
  <c r="W17" i="11"/>
  <c r="V17" i="11"/>
  <c r="U17" i="11"/>
  <c r="J17" i="11"/>
  <c r="E17" i="11"/>
  <c r="AE16" i="11"/>
  <c r="W16" i="11"/>
  <c r="V16" i="11"/>
  <c r="U16" i="11"/>
  <c r="J16" i="11"/>
  <c r="E16" i="11"/>
  <c r="AE15" i="11"/>
  <c r="W15" i="11"/>
  <c r="V15" i="11"/>
  <c r="U15" i="11"/>
  <c r="K15" i="11"/>
  <c r="J15" i="11"/>
  <c r="E15" i="11"/>
  <c r="AE14" i="11"/>
  <c r="W14" i="11"/>
  <c r="T14" i="11"/>
  <c r="U14" i="11" s="1"/>
  <c r="J14" i="11"/>
  <c r="E14" i="11"/>
  <c r="AE13" i="11"/>
  <c r="W13" i="11"/>
  <c r="V13" i="11"/>
  <c r="U13" i="11"/>
  <c r="K13" i="11"/>
  <c r="H13" i="11"/>
  <c r="J13" i="11" s="1"/>
  <c r="E13" i="11"/>
  <c r="AE12" i="11"/>
  <c r="W12" i="11"/>
  <c r="V12" i="11"/>
  <c r="U12" i="11"/>
  <c r="J12" i="11"/>
  <c r="E12" i="11"/>
  <c r="AE11" i="11"/>
  <c r="V11" i="11"/>
  <c r="R11" i="11"/>
  <c r="U11" i="11" s="1"/>
  <c r="K11" i="11"/>
  <c r="J11" i="11"/>
  <c r="E11" i="11"/>
  <c r="AE10" i="11"/>
  <c r="W10" i="11"/>
  <c r="T10" i="11"/>
  <c r="V10" i="11" s="1"/>
  <c r="K10" i="11"/>
  <c r="H10" i="11"/>
  <c r="J10" i="11" s="1"/>
  <c r="E10" i="11"/>
  <c r="AE9" i="11"/>
  <c r="W9" i="11"/>
  <c r="V9" i="11"/>
  <c r="U9" i="11"/>
  <c r="T9" i="11"/>
  <c r="K9" i="11"/>
  <c r="J9" i="11"/>
  <c r="E9" i="11"/>
  <c r="AE8" i="11"/>
  <c r="W8" i="11"/>
  <c r="V8" i="11"/>
  <c r="U8" i="11"/>
  <c r="J8" i="11"/>
  <c r="E8" i="11"/>
  <c r="AE7" i="11"/>
  <c r="W7" i="11"/>
  <c r="T7" i="11"/>
  <c r="V7" i="11" s="1"/>
  <c r="E7" i="11"/>
  <c r="W6" i="11"/>
  <c r="V6" i="11"/>
  <c r="U6" i="11"/>
  <c r="J6" i="11"/>
  <c r="E6" i="11"/>
  <c r="AE5" i="11"/>
  <c r="W4" i="11"/>
  <c r="V4" i="11"/>
  <c r="U4" i="11"/>
  <c r="J5" i="11"/>
  <c r="E5" i="11"/>
  <c r="AE4" i="11"/>
  <c r="W5" i="11"/>
  <c r="V5" i="11"/>
  <c r="U5" i="11"/>
  <c r="J4" i="11"/>
  <c r="E4" i="11"/>
  <c r="AE3" i="11"/>
  <c r="W3" i="11"/>
  <c r="T3" i="11"/>
  <c r="V3" i="11" s="1"/>
  <c r="J3" i="11"/>
  <c r="E3" i="11"/>
  <c r="AE2" i="11"/>
  <c r="W2" i="11"/>
  <c r="V2" i="11"/>
  <c r="U2" i="11"/>
  <c r="J2" i="11"/>
  <c r="E2" i="11"/>
  <c r="V363" i="10"/>
  <c r="S363" i="10"/>
  <c r="V545" i="10"/>
  <c r="X545" i="10" s="1"/>
  <c r="O159" i="10"/>
  <c r="K159" i="10"/>
  <c r="C159" i="10"/>
  <c r="O506" i="10"/>
  <c r="K506" i="10"/>
  <c r="C506" i="10"/>
  <c r="O1003" i="10"/>
  <c r="K1003" i="10"/>
  <c r="C1003" i="10"/>
  <c r="V928" i="10"/>
  <c r="N928" i="10"/>
  <c r="N247" i="10"/>
  <c r="V746" i="10"/>
  <c r="N746" i="10"/>
  <c r="O960" i="10"/>
  <c r="V267" i="10"/>
  <c r="S267" i="10"/>
  <c r="K430" i="10"/>
  <c r="O430" i="10"/>
  <c r="C430" i="10"/>
  <c r="O586" i="10"/>
  <c r="K586" i="10"/>
  <c r="C586" i="10"/>
  <c r="O458" i="10"/>
  <c r="K458" i="10"/>
  <c r="C458" i="10"/>
  <c r="V950" i="10"/>
  <c r="N950" i="10"/>
  <c r="V81" i="10"/>
  <c r="N81" i="10"/>
  <c r="V621" i="10"/>
  <c r="N621" i="10"/>
  <c r="O553" i="10"/>
  <c r="K553" i="10"/>
  <c r="C553" i="10"/>
  <c r="V623" i="10"/>
  <c r="S623" i="10"/>
  <c r="V132" i="10"/>
  <c r="N132" i="10"/>
  <c r="N320" i="10"/>
  <c r="V187" i="10"/>
  <c r="S187" i="10"/>
  <c r="N187" i="10"/>
  <c r="V1059" i="10"/>
  <c r="S1059" i="10"/>
  <c r="N1059" i="10"/>
  <c r="O88" i="10"/>
  <c r="K88" i="10"/>
  <c r="C88" i="10"/>
  <c r="V628" i="10"/>
  <c r="S628" i="10"/>
  <c r="Y628" i="10" s="1"/>
  <c r="N628" i="10"/>
  <c r="V209" i="10"/>
  <c r="S209" i="10"/>
  <c r="V428" i="10"/>
  <c r="S428" i="10"/>
  <c r="N428" i="10"/>
  <c r="J428" i="10"/>
  <c r="N468" i="10"/>
  <c r="O468" i="10" s="1"/>
  <c r="V110" i="10"/>
  <c r="S110" i="10"/>
  <c r="N110" i="10"/>
  <c r="O89" i="10"/>
  <c r="K89" i="10"/>
  <c r="C89" i="10"/>
  <c r="V10" i="10"/>
  <c r="S10" i="10"/>
  <c r="N10" i="10"/>
  <c r="V528" i="10"/>
  <c r="X528" i="10" s="1"/>
  <c r="N528" i="10"/>
  <c r="V620" i="10"/>
  <c r="N620" i="10"/>
  <c r="V863" i="10"/>
  <c r="S863" i="10"/>
  <c r="N863" i="10"/>
  <c r="H863" i="10"/>
  <c r="O209" i="10"/>
  <c r="K209" i="10"/>
  <c r="C209" i="10"/>
  <c r="V707" i="10"/>
  <c r="W960" i="10"/>
  <c r="X960" i="10"/>
  <c r="Y960" i="10"/>
  <c r="K960" i="10"/>
  <c r="C960" i="10"/>
  <c r="W486" i="10"/>
  <c r="X486" i="10"/>
  <c r="Y486" i="10"/>
  <c r="O486" i="10"/>
  <c r="K486" i="10"/>
  <c r="C486" i="10"/>
  <c r="N385" i="10"/>
  <c r="N748" i="10"/>
  <c r="O231" i="10"/>
  <c r="K231" i="10"/>
  <c r="C231" i="10"/>
  <c r="K468" i="10"/>
  <c r="C468" i="10"/>
  <c r="V151" i="10"/>
  <c r="N151" i="10"/>
  <c r="N376" i="10"/>
  <c r="V164" i="10"/>
  <c r="V565" i="10"/>
  <c r="S565" i="10"/>
  <c r="N565" i="10"/>
  <c r="Y545" i="10"/>
  <c r="O545" i="10"/>
  <c r="K545" i="10"/>
  <c r="C545" i="10"/>
  <c r="X628" i="10"/>
  <c r="Y528" i="10"/>
  <c r="J20" i="11" l="1"/>
  <c r="U7" i="11"/>
  <c r="V80" i="11"/>
  <c r="U22" i="11"/>
  <c r="V85" i="11"/>
  <c r="W11" i="11"/>
  <c r="V14" i="11"/>
  <c r="U23" i="11"/>
  <c r="U65" i="11"/>
  <c r="U38" i="11"/>
  <c r="U10" i="11"/>
  <c r="V54" i="11"/>
  <c r="U61" i="11"/>
  <c r="V46" i="11"/>
  <c r="U3" i="11"/>
  <c r="U44" i="11"/>
  <c r="W545" i="10"/>
  <c r="W209" i="10"/>
  <c r="W528" i="10"/>
  <c r="O528" i="10"/>
  <c r="K528" i="10"/>
  <c r="C528" i="10"/>
  <c r="Y1059" i="10"/>
  <c r="X1059" i="10"/>
  <c r="W1059" i="10"/>
  <c r="O1059" i="10"/>
  <c r="K1059" i="10"/>
  <c r="C1059" i="10"/>
  <c r="S1091" i="10"/>
  <c r="Y1091" i="10" s="1"/>
  <c r="V1090" i="10"/>
  <c r="S1090" i="10"/>
  <c r="N1090" i="10"/>
  <c r="Y10" i="10"/>
  <c r="X10" i="10"/>
  <c r="W10" i="10"/>
  <c r="O10" i="10"/>
  <c r="K10" i="10"/>
  <c r="C10" i="10"/>
  <c r="Y132" i="10"/>
  <c r="X132" i="10"/>
  <c r="W132" i="10"/>
  <c r="O132" i="10"/>
  <c r="K132" i="10"/>
  <c r="C132" i="10"/>
  <c r="N43" i="10"/>
  <c r="J43" i="10"/>
  <c r="Y535" i="10"/>
  <c r="X535" i="10"/>
  <c r="N535" i="10"/>
  <c r="Y782" i="10"/>
  <c r="X782" i="10"/>
  <c r="W782" i="10"/>
  <c r="N782" i="10"/>
  <c r="O782" i="10" s="1"/>
  <c r="V210" i="10"/>
  <c r="U210" i="10"/>
  <c r="S210" i="10"/>
  <c r="N210" i="10"/>
  <c r="V644" i="10"/>
  <c r="S644" i="10"/>
  <c r="N644" i="10"/>
  <c r="V611" i="10"/>
  <c r="S611" i="10"/>
  <c r="V247" i="10"/>
  <c r="S247" i="10"/>
  <c r="X1091" i="10"/>
  <c r="O1091" i="10"/>
  <c r="K1091" i="10"/>
  <c r="C1091" i="10"/>
  <c r="V634" i="10"/>
  <c r="S634" i="10"/>
  <c r="K782" i="10"/>
  <c r="C782" i="10"/>
  <c r="V685" i="10"/>
  <c r="S685" i="10"/>
  <c r="W628" i="10"/>
  <c r="O628" i="10"/>
  <c r="K628" i="10"/>
  <c r="C628" i="10"/>
  <c r="V952" i="10"/>
  <c r="N952" i="10"/>
  <c r="N77" i="10"/>
  <c r="V407" i="10"/>
  <c r="S407" i="10"/>
  <c r="N407" i="10"/>
  <c r="W1091" i="10" l="1"/>
  <c r="N522" i="10"/>
  <c r="N286" i="10"/>
  <c r="V665" i="10"/>
  <c r="S665" i="10"/>
  <c r="N665" i="10"/>
  <c r="J665" i="10"/>
  <c r="F665" i="10"/>
  <c r="V376" i="10"/>
  <c r="U376" i="10"/>
  <c r="S376" i="10"/>
  <c r="V1038" i="10"/>
  <c r="T1038" i="10"/>
  <c r="S1038" i="10"/>
  <c r="N1038" i="10"/>
  <c r="V531" i="10"/>
  <c r="U531" i="10"/>
  <c r="S531" i="10"/>
  <c r="N531" i="10"/>
  <c r="V837" i="10"/>
  <c r="T837" i="10"/>
  <c r="S837" i="10"/>
  <c r="N837" i="10"/>
  <c r="J837" i="10"/>
  <c r="V1041" i="10"/>
  <c r="E407" i="10"/>
  <c r="V522" i="10"/>
  <c r="V979" i="10"/>
  <c r="S979" i="10"/>
  <c r="N979" i="10"/>
  <c r="E979" i="10"/>
  <c r="E748" i="10"/>
  <c r="Y540" i="10"/>
  <c r="X540" i="10"/>
  <c r="W540" i="10"/>
  <c r="N707" i="10" l="1"/>
  <c r="N147" i="10"/>
  <c r="E147" i="10"/>
  <c r="V431" i="10"/>
  <c r="S431" i="10"/>
  <c r="N431" i="10"/>
  <c r="Y634" i="10"/>
  <c r="V385" i="10"/>
  <c r="S385" i="10"/>
  <c r="V181" i="10"/>
  <c r="S181" i="10"/>
  <c r="E181" i="10"/>
  <c r="W505" i="10"/>
  <c r="O505" i="10"/>
  <c r="K505" i="10"/>
  <c r="C505" i="10"/>
  <c r="V998" i="10"/>
  <c r="N998" i="10"/>
  <c r="I5" i="14"/>
  <c r="I8" i="13"/>
  <c r="O540" i="10"/>
  <c r="K540" i="10"/>
  <c r="C540" i="10"/>
  <c r="K634" i="10"/>
  <c r="O634" i="10"/>
  <c r="C634" i="10"/>
  <c r="D748" i="10"/>
  <c r="N478" i="10"/>
  <c r="V422" i="10"/>
  <c r="S422" i="10"/>
  <c r="N422" i="10"/>
  <c r="J422" i="10"/>
  <c r="K422" i="10" s="1"/>
  <c r="V447" i="10"/>
  <c r="U447" i="10"/>
  <c r="T447" i="10"/>
  <c r="S447" i="10"/>
  <c r="N447" i="10"/>
  <c r="J447" i="10"/>
  <c r="D447" i="10"/>
  <c r="N955" i="10"/>
  <c r="O955" i="10" s="1"/>
  <c r="V1064" i="10"/>
  <c r="X1064" i="10" s="1"/>
  <c r="S1064" i="10"/>
  <c r="Y1064" i="10" s="1"/>
  <c r="D1064" i="10"/>
  <c r="C1064" i="10" s="1"/>
  <c r="V26" i="10"/>
  <c r="U26" i="10"/>
  <c r="S26" i="10"/>
  <c r="N26" i="10"/>
  <c r="O26" i="10" s="1"/>
  <c r="V613" i="10"/>
  <c r="S613" i="10"/>
  <c r="N613" i="10"/>
  <c r="D613" i="10"/>
  <c r="V815" i="10"/>
  <c r="X815" i="10" s="1"/>
  <c r="T815" i="10"/>
  <c r="S815" i="10"/>
  <c r="N815" i="10"/>
  <c r="O815" i="10" s="1"/>
  <c r="W119" i="10"/>
  <c r="X119" i="10"/>
  <c r="Y119" i="10"/>
  <c r="O119" i="10"/>
  <c r="K119" i="10"/>
  <c r="C119" i="10"/>
  <c r="Y627" i="10"/>
  <c r="X627" i="10"/>
  <c r="W627" i="10"/>
  <c r="Y623" i="10"/>
  <c r="X623" i="10"/>
  <c r="W623" i="10"/>
  <c r="O623" i="10"/>
  <c r="K623" i="10"/>
  <c r="C623" i="10"/>
  <c r="W621" i="10"/>
  <c r="O621" i="10"/>
  <c r="Y611" i="10"/>
  <c r="X611" i="10"/>
  <c r="W611" i="10"/>
  <c r="O611" i="10"/>
  <c r="K611" i="10"/>
  <c r="C611" i="10"/>
  <c r="V927" i="10"/>
  <c r="S927" i="10"/>
  <c r="N927" i="10"/>
  <c r="X81" i="10"/>
  <c r="O81" i="10"/>
  <c r="Y1034" i="10"/>
  <c r="X1034" i="10"/>
  <c r="W1034" i="10"/>
  <c r="O1034" i="10"/>
  <c r="K1034" i="10"/>
  <c r="C1034" i="10"/>
  <c r="K621" i="10"/>
  <c r="C621" i="10"/>
  <c r="K81" i="10"/>
  <c r="C81" i="10"/>
  <c r="V824" i="10"/>
  <c r="S824" i="10"/>
  <c r="N824" i="10"/>
  <c r="X43" i="10"/>
  <c r="Y43" i="10"/>
  <c r="O43" i="10"/>
  <c r="V462" i="10"/>
  <c r="X462" i="10" s="1"/>
  <c r="S462" i="10"/>
  <c r="Y462" i="10" s="1"/>
  <c r="N541" i="10"/>
  <c r="V831" i="10"/>
  <c r="S831" i="10"/>
  <c r="N831" i="10"/>
  <c r="Y461" i="10"/>
  <c r="X461" i="10"/>
  <c r="W461" i="10"/>
  <c r="N461" i="10"/>
  <c r="O461" i="10" s="1"/>
  <c r="W312" i="10"/>
  <c r="O312" i="10"/>
  <c r="K312" i="10"/>
  <c r="C312" i="10"/>
  <c r="Y620" i="10"/>
  <c r="X620" i="10"/>
  <c r="W620" i="10"/>
  <c r="N811" i="10"/>
  <c r="W584" i="10"/>
  <c r="O584" i="10"/>
  <c r="K584" i="10"/>
  <c r="C584" i="10"/>
  <c r="N686" i="10"/>
  <c r="V887" i="10"/>
  <c r="X887" i="10" s="1"/>
  <c r="S887" i="10"/>
  <c r="N887" i="10"/>
  <c r="O887" i="10" s="1"/>
  <c r="O462" i="10"/>
  <c r="K461" i="10"/>
  <c r="K462" i="10"/>
  <c r="C461" i="10"/>
  <c r="C462" i="10"/>
  <c r="V397" i="10"/>
  <c r="N397" i="10"/>
  <c r="V223" i="10"/>
  <c r="S223" i="10"/>
  <c r="N223" i="10"/>
  <c r="V479" i="10"/>
  <c r="X479" i="10" s="1"/>
  <c r="O479" i="10"/>
  <c r="C479" i="10"/>
  <c r="V476" i="10"/>
  <c r="X476" i="10" s="1"/>
  <c r="S476" i="10"/>
  <c r="Y476" i="10" s="1"/>
  <c r="N476" i="10"/>
  <c r="O476" i="10" s="1"/>
  <c r="W535" i="10"/>
  <c r="O535" i="10"/>
  <c r="V901" i="10"/>
  <c r="S901" i="10"/>
  <c r="N901" i="10"/>
  <c r="K43" i="10"/>
  <c r="C43" i="10"/>
  <c r="W77" i="10"/>
  <c r="O77" i="10"/>
  <c r="K77" i="10"/>
  <c r="C77" i="10"/>
  <c r="Y479" i="10"/>
  <c r="K479" i="10"/>
  <c r="V414" i="10"/>
  <c r="U414" i="10"/>
  <c r="S414" i="10"/>
  <c r="K535" i="10"/>
  <c r="C535" i="10"/>
  <c r="K887" i="10"/>
  <c r="C887" i="10"/>
  <c r="T613" i="10"/>
  <c r="E613" i="10"/>
  <c r="K476" i="10"/>
  <c r="C476" i="10"/>
  <c r="E422" i="10"/>
  <c r="E478" i="10"/>
  <c r="U686" i="10"/>
  <c r="O1064" i="10"/>
  <c r="K1064" i="10"/>
  <c r="K26" i="10"/>
  <c r="C26" i="10"/>
  <c r="K815" i="10"/>
  <c r="C815" i="10"/>
  <c r="V1026" i="10"/>
  <c r="S1026" i="10"/>
  <c r="N1026" i="10"/>
  <c r="W955" i="10"/>
  <c r="K955" i="10"/>
  <c r="C955" i="10"/>
  <c r="X749" i="10"/>
  <c r="O749" i="10"/>
  <c r="K749" i="10"/>
  <c r="C749" i="10"/>
  <c r="V1002" i="10"/>
  <c r="N1002" i="10"/>
  <c r="N1001" i="10"/>
  <c r="V495" i="10"/>
  <c r="N495" i="10"/>
  <c r="Y658" i="10"/>
  <c r="X658" i="10"/>
  <c r="W658" i="10"/>
  <c r="O658" i="10"/>
  <c r="K658" i="10"/>
  <c r="C658" i="10"/>
  <c r="V274" i="10"/>
  <c r="S274" i="10"/>
  <c r="V745" i="10"/>
  <c r="S745" i="10"/>
  <c r="N745" i="10"/>
  <c r="U164" i="10"/>
  <c r="N146" i="10"/>
  <c r="Y26" i="10" l="1"/>
  <c r="W634" i="10"/>
  <c r="X634" i="10"/>
  <c r="W26" i="10"/>
  <c r="Y81" i="10"/>
  <c r="W1064" i="10"/>
  <c r="W815" i="10"/>
  <c r="X26" i="10"/>
  <c r="Y815" i="10"/>
  <c r="W81" i="10"/>
  <c r="W462" i="10"/>
  <c r="Y531" i="10"/>
  <c r="W43" i="10"/>
  <c r="W887" i="10"/>
  <c r="Y887" i="10"/>
  <c r="W479" i="10"/>
  <c r="W476" i="10"/>
  <c r="W1047" i="10"/>
  <c r="X1047" i="10"/>
  <c r="Y1047" i="10"/>
  <c r="O1047" i="10"/>
  <c r="K1047" i="10"/>
  <c r="C1047" i="10"/>
  <c r="X1018" i="10"/>
  <c r="Y1018" i="10"/>
  <c r="O1018" i="10"/>
  <c r="K1018" i="10"/>
  <c r="C1018" i="10"/>
  <c r="X696" i="10"/>
  <c r="O696" i="10"/>
  <c r="K696" i="10"/>
  <c r="C696" i="10"/>
  <c r="V507" i="10"/>
  <c r="S507" i="10"/>
  <c r="V646" i="10"/>
  <c r="V1058" i="10"/>
  <c r="S1058" i="10"/>
  <c r="O620" i="10"/>
  <c r="K620" i="10"/>
  <c r="C620" i="10"/>
  <c r="Y952" i="10"/>
  <c r="X952" i="10"/>
  <c r="W952" i="10"/>
  <c r="O952" i="10"/>
  <c r="K952" i="10"/>
  <c r="C952" i="10"/>
  <c r="Y863" i="10"/>
  <c r="X863" i="10"/>
  <c r="W863" i="10"/>
  <c r="O863" i="10"/>
  <c r="K863" i="10"/>
  <c r="C863" i="10"/>
  <c r="O627" i="10"/>
  <c r="K627" i="10"/>
  <c r="C627" i="10"/>
  <c r="W303" i="10"/>
  <c r="N303" i="10"/>
  <c r="W624" i="10"/>
  <c r="O624" i="10"/>
  <c r="K624" i="10"/>
  <c r="C624" i="10"/>
  <c r="Y986" i="10"/>
  <c r="X986" i="10"/>
  <c r="W986" i="10"/>
  <c r="O986" i="10"/>
  <c r="K986" i="10"/>
  <c r="C986" i="10"/>
  <c r="O301" i="10"/>
  <c r="K301" i="10"/>
  <c r="C301" i="10"/>
  <c r="C302" i="10"/>
  <c r="Y302" i="10"/>
  <c r="X302" i="10"/>
  <c r="W302" i="10"/>
  <c r="O302" i="10"/>
  <c r="K302" i="10"/>
  <c r="Y884" i="10"/>
  <c r="X884" i="10"/>
  <c r="W884" i="10"/>
  <c r="O884" i="10"/>
  <c r="K884" i="10"/>
  <c r="C884" i="10"/>
  <c r="W226" i="10" l="1"/>
  <c r="O226" i="10"/>
  <c r="K226" i="10"/>
  <c r="C226" i="10"/>
  <c r="Y495" i="10"/>
  <c r="X495" i="10"/>
  <c r="W495" i="10"/>
  <c r="V1025" i="10"/>
  <c r="V546" i="10"/>
  <c r="U546" i="10"/>
  <c r="S546" i="10"/>
  <c r="N546" i="10"/>
  <c r="V790" i="10"/>
  <c r="U790" i="10"/>
  <c r="S790" i="10"/>
  <c r="N790" i="10"/>
  <c r="X606" i="10"/>
  <c r="W606" i="10"/>
  <c r="O606" i="10"/>
  <c r="K606" i="10"/>
  <c r="C606" i="10"/>
  <c r="V30" i="10"/>
  <c r="S30" i="10"/>
  <c r="V858" i="10"/>
  <c r="U858" i="10"/>
  <c r="S858" i="10"/>
  <c r="N858" i="10"/>
  <c r="V1052" i="10"/>
  <c r="N1052" i="10"/>
  <c r="V777" i="10"/>
  <c r="S777" i="10"/>
  <c r="N777" i="10"/>
  <c r="V822" i="10"/>
  <c r="U822" i="10"/>
  <c r="T822" i="10"/>
  <c r="S822" i="10"/>
  <c r="N822" i="10"/>
  <c r="N423" i="10" l="1"/>
  <c r="V212" i="10"/>
  <c r="O824" i="10"/>
  <c r="W565" i="10"/>
  <c r="Y565" i="10"/>
  <c r="Y507" i="10"/>
  <c r="O613" i="10"/>
  <c r="X385" i="10"/>
  <c r="Y397" i="10"/>
  <c r="Y422" i="10"/>
  <c r="X422" i="10"/>
  <c r="W422" i="10"/>
  <c r="O422" i="10"/>
  <c r="C422" i="10"/>
  <c r="Y998" i="10"/>
  <c r="W998" i="10"/>
  <c r="O147" i="10"/>
  <c r="X746" i="10"/>
  <c r="O746" i="10"/>
  <c r="X414" i="10"/>
  <c r="Y478" i="10"/>
  <c r="X478" i="10"/>
  <c r="W478" i="10"/>
  <c r="O478" i="10"/>
  <c r="X181" i="10"/>
  <c r="Y181" i="10"/>
  <c r="Y286" i="10"/>
  <c r="O286" i="10"/>
  <c r="K286" i="10"/>
  <c r="C286" i="10"/>
  <c r="O431" i="10"/>
  <c r="O998" i="10"/>
  <c r="K998" i="10"/>
  <c r="C998" i="10"/>
  <c r="Y613" i="10"/>
  <c r="X613" i="10"/>
  <c r="V53" i="10"/>
  <c r="X53" i="10" s="1"/>
  <c r="S53" i="10"/>
  <c r="Y53" i="10" s="1"/>
  <c r="N53" i="10"/>
  <c r="O53" i="10" s="1"/>
  <c r="N851" i="10"/>
  <c r="O851" i="10" s="1"/>
  <c r="Y989" i="10"/>
  <c r="X989" i="10"/>
  <c r="W989" i="10"/>
  <c r="O989" i="10"/>
  <c r="K989" i="10"/>
  <c r="C989" i="10"/>
  <c r="V90" i="10"/>
  <c r="X90" i="10" s="1"/>
  <c r="S90" i="10"/>
  <c r="Y90" i="10" s="1"/>
  <c r="N90" i="10"/>
  <c r="O90" i="10" s="1"/>
  <c r="N305" i="10"/>
  <c r="O305" i="10" s="1"/>
  <c r="Y1026" i="10"/>
  <c r="X1026" i="10"/>
  <c r="W1026" i="10"/>
  <c r="O1026" i="10"/>
  <c r="K1026" i="10"/>
  <c r="C1026" i="10"/>
  <c r="O447" i="10"/>
  <c r="N773" i="10"/>
  <c r="O773" i="10" s="1"/>
  <c r="V229" i="10"/>
  <c r="T229" i="10"/>
  <c r="S229" i="10"/>
  <c r="Y229" i="10" s="1"/>
  <c r="V603" i="10"/>
  <c r="X603" i="10" s="1"/>
  <c r="S603" i="10"/>
  <c r="N603" i="10"/>
  <c r="O603" i="10" s="1"/>
  <c r="O979" i="10"/>
  <c r="V264" i="10"/>
  <c r="U264" i="10"/>
  <c r="S264" i="10"/>
  <c r="N264" i="10"/>
  <c r="O264" i="10" s="1"/>
  <c r="X651" i="10"/>
  <c r="W651" i="10"/>
  <c r="O651" i="10"/>
  <c r="K651" i="10"/>
  <c r="C651" i="10"/>
  <c r="X532" i="10"/>
  <c r="W532" i="10"/>
  <c r="O532" i="10"/>
  <c r="K532" i="10"/>
  <c r="C532" i="10"/>
  <c r="Y663" i="10"/>
  <c r="X663" i="10"/>
  <c r="W663" i="10"/>
  <c r="O663" i="10"/>
  <c r="K663" i="10"/>
  <c r="C663" i="10"/>
  <c r="Y267" i="10"/>
  <c r="Y164" i="10"/>
  <c r="X164" i="10"/>
  <c r="W164" i="10"/>
  <c r="O164" i="10"/>
  <c r="K164" i="10"/>
  <c r="C164" i="10"/>
  <c r="O165" i="10"/>
  <c r="W323" i="10"/>
  <c r="K323" i="10"/>
  <c r="C323" i="10"/>
  <c r="W320" i="10"/>
  <c r="O320" i="10"/>
  <c r="S806" i="10"/>
  <c r="Y806" i="10" s="1"/>
  <c r="N806" i="10"/>
  <c r="O806" i="10" s="1"/>
  <c r="X1041" i="10"/>
  <c r="O1041" i="10"/>
  <c r="Y274" i="10"/>
  <c r="X274" i="10"/>
  <c r="W274" i="10"/>
  <c r="O274" i="10"/>
  <c r="K274" i="10"/>
  <c r="C274" i="10"/>
  <c r="Y187" i="10"/>
  <c r="X187" i="10"/>
  <c r="W187" i="10"/>
  <c r="Y110" i="10"/>
  <c r="X110" i="10"/>
  <c r="W110" i="10"/>
  <c r="O110" i="10"/>
  <c r="K110" i="10"/>
  <c r="C110" i="10"/>
  <c r="O111" i="10"/>
  <c r="X146" i="10"/>
  <c r="W146" i="10"/>
  <c r="O146" i="10"/>
  <c r="K146" i="10"/>
  <c r="C146" i="10"/>
  <c r="X837" i="10"/>
  <c r="Y837" i="10"/>
  <c r="Y950" i="10"/>
  <c r="X950" i="10"/>
  <c r="W950" i="10"/>
  <c r="O950" i="10"/>
  <c r="K950" i="10"/>
  <c r="C950" i="10"/>
  <c r="X531" i="10"/>
  <c r="W531" i="10"/>
  <c r="O531" i="10"/>
  <c r="K531" i="10"/>
  <c r="C531" i="10"/>
  <c r="Y745" i="10"/>
  <c r="X745" i="10"/>
  <c r="W745" i="10"/>
  <c r="O745" i="10"/>
  <c r="K745" i="10"/>
  <c r="C745" i="10"/>
  <c r="Y247" i="10"/>
  <c r="X247" i="10"/>
  <c r="W247" i="10"/>
  <c r="O247" i="10"/>
  <c r="K247" i="10"/>
  <c r="C247" i="10"/>
  <c r="V510" i="10"/>
  <c r="W928" i="10"/>
  <c r="X928" i="10"/>
  <c r="Y928" i="10"/>
  <c r="O928" i="10"/>
  <c r="K928" i="10"/>
  <c r="C928" i="10"/>
  <c r="O187" i="10"/>
  <c r="K187" i="10"/>
  <c r="C187" i="10"/>
  <c r="O495" i="10"/>
  <c r="K495" i="10"/>
  <c r="C495" i="10"/>
  <c r="S514" i="10"/>
  <c r="Y514" i="10" s="1"/>
  <c r="W428" i="10"/>
  <c r="O428" i="10"/>
  <c r="X124" i="10"/>
  <c r="Y124" i="10"/>
  <c r="O124" i="10"/>
  <c r="K124" i="10"/>
  <c r="C124" i="10"/>
  <c r="O1038" i="10"/>
  <c r="V5" i="10"/>
  <c r="X5" i="10" s="1"/>
  <c r="C5" i="10"/>
  <c r="Y707" i="10"/>
  <c r="O707" i="10"/>
  <c r="W1040" i="10"/>
  <c r="X1040" i="10"/>
  <c r="Y1040" i="10"/>
  <c r="Y151" i="10"/>
  <c r="O151" i="10"/>
  <c r="O565" i="10"/>
  <c r="O811" i="10"/>
  <c r="Y901" i="10"/>
  <c r="X901" i="10"/>
  <c r="V956" i="10"/>
  <c r="W956" i="10" s="1"/>
  <c r="N956" i="10"/>
  <c r="O956" i="10" s="1"/>
  <c r="Y509" i="10"/>
  <c r="X509" i="10"/>
  <c r="W509" i="10"/>
  <c r="N509" i="10"/>
  <c r="O509" i="10" s="1"/>
  <c r="V392" i="10"/>
  <c r="X392" i="10" s="1"/>
  <c r="S392" i="10"/>
  <c r="N392" i="10"/>
  <c r="O392" i="10" s="1"/>
  <c r="Y824" i="10"/>
  <c r="X541" i="10"/>
  <c r="Y541" i="10"/>
  <c r="W541" i="10"/>
  <c r="O541" i="10"/>
  <c r="K541" i="10"/>
  <c r="C541" i="10"/>
  <c r="X644" i="10"/>
  <c r="O644" i="10"/>
  <c r="O665" i="10"/>
  <c r="V491" i="10"/>
  <c r="S491" i="10"/>
  <c r="Y491" i="10" s="1"/>
  <c r="N491" i="10"/>
  <c r="O491" i="10" s="1"/>
  <c r="O376" i="10"/>
  <c r="Y1058" i="10"/>
  <c r="X1058" i="10"/>
  <c r="W1058" i="10"/>
  <c r="O1058" i="10"/>
  <c r="K1058" i="10"/>
  <c r="C1058" i="10"/>
  <c r="O682" i="10"/>
  <c r="K682" i="10"/>
  <c r="C682" i="10"/>
  <c r="O1025" i="10"/>
  <c r="Y210" i="10"/>
  <c r="O210" i="10"/>
  <c r="K210" i="10"/>
  <c r="C210" i="10"/>
  <c r="X777" i="10"/>
  <c r="Y777" i="10"/>
  <c r="V481" i="10"/>
  <c r="X481" i="10" s="1"/>
  <c r="N481" i="10"/>
  <c r="O481" i="10" s="1"/>
  <c r="Y1038" i="10"/>
  <c r="Y30" i="10"/>
  <c r="Y822" i="10"/>
  <c r="O1052" i="10"/>
  <c r="Y858" i="10"/>
  <c r="O858" i="10"/>
  <c r="W790" i="10"/>
  <c r="O790" i="10"/>
  <c r="O525" i="10"/>
  <c r="K525" i="10"/>
  <c r="C525" i="10"/>
  <c r="O348" i="10"/>
  <c r="K348" i="10"/>
  <c r="C348" i="10"/>
  <c r="Y582" i="10"/>
  <c r="X582" i="10"/>
  <c r="W582" i="10"/>
  <c r="K582" i="10"/>
  <c r="C582" i="10"/>
  <c r="O63" i="10"/>
  <c r="K63" i="10"/>
  <c r="C63" i="10"/>
  <c r="W987" i="10"/>
  <c r="K811" i="10"/>
  <c r="K1040" i="10"/>
  <c r="C1040" i="10"/>
  <c r="O697" i="10"/>
  <c r="K697" i="10"/>
  <c r="C697" i="10"/>
  <c r="O432" i="10"/>
  <c r="K432" i="10"/>
  <c r="C432" i="10"/>
  <c r="W278" i="10"/>
  <c r="X278" i="10"/>
  <c r="Y278" i="10"/>
  <c r="O278" i="10"/>
  <c r="K278" i="10"/>
  <c r="C278" i="10"/>
  <c r="W86" i="10"/>
  <c r="O86" i="10"/>
  <c r="K86" i="10"/>
  <c r="C86" i="10"/>
  <c r="O514" i="10"/>
  <c r="Y757" i="10"/>
  <c r="X757" i="10"/>
  <c r="W757" i="10"/>
  <c r="O757" i="10"/>
  <c r="K757" i="10"/>
  <c r="C757" i="10"/>
  <c r="O783" i="10"/>
  <c r="K783" i="10"/>
  <c r="C783" i="10"/>
  <c r="Y5" i="10"/>
  <c r="O5" i="10"/>
  <c r="K5" i="10"/>
  <c r="W695" i="10"/>
  <c r="X695" i="10"/>
  <c r="Y695" i="10"/>
  <c r="O695" i="10"/>
  <c r="K695" i="10"/>
  <c r="C695" i="10"/>
  <c r="W501" i="10"/>
  <c r="O501" i="10"/>
  <c r="K501" i="10"/>
  <c r="C501" i="10"/>
  <c r="Y256" i="10"/>
  <c r="X256" i="10"/>
  <c r="W256" i="10"/>
  <c r="O256" i="10"/>
  <c r="O255" i="10"/>
  <c r="K256" i="10"/>
  <c r="C256" i="10"/>
  <c r="Y886" i="10"/>
  <c r="X886" i="10"/>
  <c r="W886" i="10"/>
  <c r="O886" i="10"/>
  <c r="K886" i="10"/>
  <c r="C886" i="10"/>
  <c r="Y746" i="10"/>
  <c r="K746" i="10"/>
  <c r="C746" i="10"/>
  <c r="O901" i="10"/>
  <c r="K901" i="10"/>
  <c r="C901" i="10"/>
  <c r="Y385" i="10"/>
  <c r="O385" i="10"/>
  <c r="K385" i="10"/>
  <c r="C385" i="10"/>
  <c r="O987" i="10"/>
  <c r="K987" i="10"/>
  <c r="C987" i="10"/>
  <c r="Y542" i="10"/>
  <c r="X542" i="10"/>
  <c r="W542" i="10"/>
  <c r="O542" i="10"/>
  <c r="K542" i="10"/>
  <c r="C542" i="10"/>
  <c r="V687" i="10"/>
  <c r="X687" i="10" s="1"/>
  <c r="S687" i="10"/>
  <c r="N687" i="10"/>
  <c r="O687" i="10" s="1"/>
  <c r="K613" i="10"/>
  <c r="C613" i="10"/>
  <c r="Y431" i="10"/>
  <c r="X431" i="10"/>
  <c r="W431" i="10"/>
  <c r="Y414" i="10"/>
  <c r="O414" i="10"/>
  <c r="K414" i="10"/>
  <c r="C414" i="10"/>
  <c r="N222" i="10"/>
  <c r="O222" i="10" s="1"/>
  <c r="Y544" i="10"/>
  <c r="X544" i="10"/>
  <c r="W544" i="10"/>
  <c r="O544" i="10"/>
  <c r="K544" i="10"/>
  <c r="C544" i="10"/>
  <c r="K431" i="10"/>
  <c r="C431" i="10"/>
  <c r="O181" i="10"/>
  <c r="K181" i="10"/>
  <c r="C181" i="10"/>
  <c r="Y603" i="10"/>
  <c r="O229" i="10"/>
  <c r="K90" i="10"/>
  <c r="C90" i="10"/>
  <c r="O307" i="10"/>
  <c r="K307" i="10"/>
  <c r="C307" i="10"/>
  <c r="Y851" i="10"/>
  <c r="W851" i="10"/>
  <c r="O823" i="10"/>
  <c r="K823" i="10"/>
  <c r="C823" i="10"/>
  <c r="O452" i="10"/>
  <c r="K452" i="10"/>
  <c r="C452" i="10"/>
  <c r="K565" i="10"/>
  <c r="C565" i="10"/>
  <c r="Y35" i="10"/>
  <c r="W35" i="10"/>
  <c r="O35" i="10"/>
  <c r="K35" i="10"/>
  <c r="C35" i="10"/>
  <c r="Y351" i="10"/>
  <c r="W351" i="10"/>
  <c r="O351" i="10"/>
  <c r="K351" i="10"/>
  <c r="C351" i="10"/>
  <c r="W609" i="10"/>
  <c r="O609" i="10"/>
  <c r="K609" i="10"/>
  <c r="C609" i="10"/>
  <c r="W608" i="10"/>
  <c r="O608" i="10"/>
  <c r="K608" i="10"/>
  <c r="C608" i="10"/>
  <c r="K509" i="10"/>
  <c r="C509" i="10"/>
  <c r="Y810" i="10"/>
  <c r="W810" i="10"/>
  <c r="O810" i="10"/>
  <c r="K810" i="10"/>
  <c r="C810" i="10"/>
  <c r="Y311" i="10"/>
  <c r="W311" i="10"/>
  <c r="O311" i="10"/>
  <c r="K311" i="10"/>
  <c r="C311" i="10"/>
  <c r="Y510" i="10"/>
  <c r="W510" i="10"/>
  <c r="O510" i="10"/>
  <c r="K510" i="10"/>
  <c r="C510" i="10"/>
  <c r="Y826" i="10"/>
  <c r="W826" i="10"/>
  <c r="O826" i="10"/>
  <c r="K826" i="10"/>
  <c r="C826" i="10"/>
  <c r="N751" i="10"/>
  <c r="O751" i="10" s="1"/>
  <c r="Y751" i="10"/>
  <c r="W751" i="10"/>
  <c r="O1008" i="10"/>
  <c r="K1008" i="10"/>
  <c r="C1008" i="10"/>
  <c r="Y567" i="10"/>
  <c r="W567" i="10"/>
  <c r="K3" i="10"/>
  <c r="K4" i="10"/>
  <c r="K6" i="10"/>
  <c r="K7" i="10"/>
  <c r="K8" i="10"/>
  <c r="K9" i="10"/>
  <c r="K11" i="10"/>
  <c r="K12" i="10"/>
  <c r="K13" i="10"/>
  <c r="K15" i="10"/>
  <c r="K16" i="10"/>
  <c r="K18" i="10"/>
  <c r="K14" i="10"/>
  <c r="K17" i="10"/>
  <c r="K20" i="10"/>
  <c r="K19" i="10"/>
  <c r="K21" i="10"/>
  <c r="K22" i="10"/>
  <c r="K25" i="10"/>
  <c r="K23" i="10"/>
  <c r="K24" i="10"/>
  <c r="K27" i="10"/>
  <c r="K28" i="10"/>
  <c r="K29" i="10"/>
  <c r="K30" i="10"/>
  <c r="K31" i="10"/>
  <c r="K33" i="10"/>
  <c r="K32" i="10"/>
  <c r="K34" i="10"/>
  <c r="K36" i="10"/>
  <c r="K37" i="10"/>
  <c r="K38" i="10"/>
  <c r="K39" i="10"/>
  <c r="K41" i="10"/>
  <c r="K40" i="10"/>
  <c r="K42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4" i="10"/>
  <c r="K65" i="10"/>
  <c r="K66" i="10"/>
  <c r="K67" i="10"/>
  <c r="K68" i="10"/>
  <c r="K69" i="10"/>
  <c r="K70" i="10"/>
  <c r="K71" i="10"/>
  <c r="K72" i="10"/>
  <c r="K73" i="10"/>
  <c r="K74" i="10"/>
  <c r="K76" i="10"/>
  <c r="K75" i="10"/>
  <c r="K78" i="10"/>
  <c r="K80" i="10"/>
  <c r="K79" i="10"/>
  <c r="K83" i="10"/>
  <c r="K82" i="10"/>
  <c r="K85" i="10"/>
  <c r="K84" i="10"/>
  <c r="K87" i="10"/>
  <c r="K91" i="10"/>
  <c r="K92" i="10"/>
  <c r="K93" i="10"/>
  <c r="K94" i="10"/>
  <c r="K95" i="10"/>
  <c r="K96" i="10"/>
  <c r="K98" i="10"/>
  <c r="K97" i="10"/>
  <c r="K99" i="10"/>
  <c r="K100" i="10"/>
  <c r="K101" i="10"/>
  <c r="K102" i="10"/>
  <c r="K103" i="10"/>
  <c r="K104" i="10"/>
  <c r="K105" i="10"/>
  <c r="K106" i="10"/>
  <c r="K107" i="10"/>
  <c r="K108" i="10"/>
  <c r="K109" i="10"/>
  <c r="K112" i="10"/>
  <c r="K113" i="10"/>
  <c r="K114" i="10"/>
  <c r="K115" i="10"/>
  <c r="K116" i="10"/>
  <c r="K118" i="10"/>
  <c r="K117" i="10"/>
  <c r="K123" i="10"/>
  <c r="K122" i="10"/>
  <c r="K120" i="10"/>
  <c r="K121" i="10"/>
  <c r="K125" i="10"/>
  <c r="K126" i="10"/>
  <c r="K129" i="10"/>
  <c r="K127" i="10"/>
  <c r="K128" i="10"/>
  <c r="K130" i="10"/>
  <c r="K131" i="10"/>
  <c r="K133" i="10"/>
  <c r="K134" i="10"/>
  <c r="K135" i="10"/>
  <c r="K136" i="10"/>
  <c r="K137" i="10"/>
  <c r="K138" i="10"/>
  <c r="K139" i="10"/>
  <c r="K140" i="10"/>
  <c r="K141" i="10"/>
  <c r="K144" i="10"/>
  <c r="K145" i="10"/>
  <c r="K142" i="10"/>
  <c r="K143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60" i="10"/>
  <c r="K161" i="10"/>
  <c r="K162" i="10"/>
  <c r="K163" i="10"/>
  <c r="K166" i="10"/>
  <c r="K167" i="10"/>
  <c r="K168" i="10"/>
  <c r="K169" i="10"/>
  <c r="K170" i="10"/>
  <c r="K171" i="10"/>
  <c r="K172" i="10"/>
  <c r="K173" i="10"/>
  <c r="K174" i="10"/>
  <c r="K175" i="10"/>
  <c r="K176" i="10"/>
  <c r="K178" i="10"/>
  <c r="K177" i="10"/>
  <c r="K179" i="10"/>
  <c r="K180" i="10"/>
  <c r="K184" i="10"/>
  <c r="K185" i="10"/>
  <c r="K182" i="10"/>
  <c r="K183" i="10"/>
  <c r="K186" i="10"/>
  <c r="K188" i="10"/>
  <c r="K189" i="10"/>
  <c r="K191" i="10"/>
  <c r="K190" i="10"/>
  <c r="K192" i="10"/>
  <c r="K193" i="10"/>
  <c r="K194" i="10"/>
  <c r="K195" i="10"/>
  <c r="K196" i="10"/>
  <c r="K197" i="10"/>
  <c r="K198" i="10"/>
  <c r="K199" i="10"/>
  <c r="K201" i="10"/>
  <c r="K200" i="10"/>
  <c r="K202" i="10"/>
  <c r="K203" i="10"/>
  <c r="K204" i="10"/>
  <c r="K205" i="10"/>
  <c r="K206" i="10"/>
  <c r="K207" i="10"/>
  <c r="K208" i="10"/>
  <c r="K211" i="10"/>
  <c r="K212" i="10"/>
  <c r="K213" i="10"/>
  <c r="K214" i="10"/>
  <c r="K215" i="10"/>
  <c r="K216" i="10"/>
  <c r="K217" i="10"/>
  <c r="K218" i="10"/>
  <c r="K219" i="10"/>
  <c r="K220" i="10"/>
  <c r="K222" i="10"/>
  <c r="K221" i="10"/>
  <c r="K224" i="10"/>
  <c r="K225" i="10"/>
  <c r="K223" i="10"/>
  <c r="K227" i="10"/>
  <c r="K228" i="10"/>
  <c r="K230" i="10"/>
  <c r="K229" i="10"/>
  <c r="K232" i="10"/>
  <c r="K233" i="10"/>
  <c r="K234" i="10"/>
  <c r="K235" i="10"/>
  <c r="K237" i="10"/>
  <c r="K236" i="10"/>
  <c r="K238" i="10"/>
  <c r="K239" i="10"/>
  <c r="K240" i="10"/>
  <c r="K241" i="10"/>
  <c r="K242" i="10"/>
  <c r="K243" i="10"/>
  <c r="K244" i="10"/>
  <c r="K245" i="10"/>
  <c r="K246" i="10"/>
  <c r="K248" i="10"/>
  <c r="K249" i="10"/>
  <c r="K250" i="10"/>
  <c r="K251" i="10"/>
  <c r="K254" i="10"/>
  <c r="K252" i="10"/>
  <c r="K253" i="10"/>
  <c r="K255" i="10"/>
  <c r="K257" i="10"/>
  <c r="K258" i="10"/>
  <c r="K259" i="10"/>
  <c r="K260" i="10"/>
  <c r="K261" i="10"/>
  <c r="K262" i="10"/>
  <c r="K263" i="10"/>
  <c r="K264" i="10"/>
  <c r="K265" i="10"/>
  <c r="K266" i="10"/>
  <c r="K267" i="10"/>
  <c r="K268" i="10"/>
  <c r="K269" i="10"/>
  <c r="K270" i="10"/>
  <c r="K271" i="10"/>
  <c r="K272" i="10"/>
  <c r="K273" i="10"/>
  <c r="K276" i="10"/>
  <c r="K277" i="10"/>
  <c r="K275" i="10"/>
  <c r="K279" i="10"/>
  <c r="K280" i="10"/>
  <c r="K281" i="10"/>
  <c r="K282" i="10"/>
  <c r="K283" i="10"/>
  <c r="K284" i="10"/>
  <c r="K285" i="10"/>
  <c r="K287" i="10"/>
  <c r="K288" i="10"/>
  <c r="K289" i="10"/>
  <c r="K291" i="10"/>
  <c r="K290" i="10"/>
  <c r="K292" i="10"/>
  <c r="K293" i="10"/>
  <c r="K294" i="10"/>
  <c r="K295" i="10"/>
  <c r="K296" i="10"/>
  <c r="K297" i="10"/>
  <c r="K298" i="10"/>
  <c r="K299" i="10"/>
  <c r="K300" i="10"/>
  <c r="K303" i="10"/>
  <c r="K304" i="10"/>
  <c r="K309" i="10"/>
  <c r="K315" i="10"/>
  <c r="K310" i="10"/>
  <c r="K305" i="10"/>
  <c r="K308" i="10"/>
  <c r="K306" i="10"/>
  <c r="K314" i="10"/>
  <c r="K313" i="10"/>
  <c r="K316" i="10"/>
  <c r="K317" i="10"/>
  <c r="K319" i="10"/>
  <c r="K318" i="10"/>
  <c r="K321" i="10"/>
  <c r="K322" i="10"/>
  <c r="K320" i="10"/>
  <c r="K324" i="10"/>
  <c r="K325" i="10"/>
  <c r="K327" i="10"/>
  <c r="K326" i="10"/>
  <c r="K329" i="10"/>
  <c r="K328" i="10"/>
  <c r="K330" i="10"/>
  <c r="K331" i="10"/>
  <c r="K332" i="10"/>
  <c r="K333" i="10"/>
  <c r="K334" i="10"/>
  <c r="K335" i="10"/>
  <c r="K336" i="10"/>
  <c r="K337" i="10"/>
  <c r="K338" i="10"/>
  <c r="K339" i="10"/>
  <c r="K340" i="10"/>
  <c r="K341" i="10"/>
  <c r="K342" i="10"/>
  <c r="K343" i="10"/>
  <c r="K344" i="10"/>
  <c r="K345" i="10"/>
  <c r="K346" i="10"/>
  <c r="K347" i="10"/>
  <c r="K349" i="10"/>
  <c r="K350" i="10"/>
  <c r="K353" i="10"/>
  <c r="K352" i="10"/>
  <c r="K354" i="10"/>
  <c r="K355" i="10"/>
  <c r="K357" i="10"/>
  <c r="K356" i="10"/>
  <c r="K358" i="10"/>
  <c r="K359" i="10"/>
  <c r="K360" i="10"/>
  <c r="K361" i="10"/>
  <c r="K362" i="10"/>
  <c r="K363" i="10"/>
  <c r="K364" i="10"/>
  <c r="K365" i="10"/>
  <c r="K367" i="10"/>
  <c r="K366" i="10"/>
  <c r="K369" i="10"/>
  <c r="K370" i="10"/>
  <c r="K368" i="10"/>
  <c r="K371" i="10"/>
  <c r="K372" i="10"/>
  <c r="K373" i="10"/>
  <c r="K374" i="10"/>
  <c r="K375" i="10"/>
  <c r="K376" i="10"/>
  <c r="K377" i="10"/>
  <c r="K378" i="10"/>
  <c r="K379" i="10"/>
  <c r="K380" i="10"/>
  <c r="K381" i="10"/>
  <c r="K383" i="10"/>
  <c r="K382" i="10"/>
  <c r="K384" i="10"/>
  <c r="K386" i="10"/>
  <c r="K387" i="10"/>
  <c r="K388" i="10"/>
  <c r="K389" i="10"/>
  <c r="K390" i="10"/>
  <c r="K391" i="10"/>
  <c r="K392" i="10"/>
  <c r="K393" i="10"/>
  <c r="K394" i="10"/>
  <c r="K395" i="10"/>
  <c r="K396" i="10"/>
  <c r="K397" i="10"/>
  <c r="K398" i="10"/>
  <c r="K399" i="10"/>
  <c r="K400" i="10"/>
  <c r="K401" i="10"/>
  <c r="K402" i="10"/>
  <c r="K403" i="10"/>
  <c r="K404" i="10"/>
  <c r="K405" i="10"/>
  <c r="K406" i="10"/>
  <c r="K407" i="10"/>
  <c r="K408" i="10"/>
  <c r="K410" i="10"/>
  <c r="K412" i="10"/>
  <c r="K411" i="10"/>
  <c r="K409" i="10"/>
  <c r="K413" i="10"/>
  <c r="K416" i="10"/>
  <c r="K415" i="10"/>
  <c r="K417" i="10"/>
  <c r="K418" i="10"/>
  <c r="K419" i="10"/>
  <c r="K420" i="10"/>
  <c r="K421" i="10"/>
  <c r="K423" i="10"/>
  <c r="K424" i="10"/>
  <c r="K425" i="10"/>
  <c r="K426" i="10"/>
  <c r="K427" i="10"/>
  <c r="K428" i="10"/>
  <c r="K429" i="10"/>
  <c r="K1038" i="10"/>
  <c r="K433" i="10"/>
  <c r="K435" i="10"/>
  <c r="K434" i="10"/>
  <c r="K436" i="10"/>
  <c r="K437" i="10"/>
  <c r="K438" i="10"/>
  <c r="K439" i="10"/>
  <c r="K440" i="10"/>
  <c r="K441" i="10"/>
  <c r="K442" i="10"/>
  <c r="K443" i="10"/>
  <c r="K444" i="10"/>
  <c r="K445" i="10"/>
  <c r="K446" i="10"/>
  <c r="K447" i="10"/>
  <c r="K448" i="10"/>
  <c r="K449" i="10"/>
  <c r="K450" i="10"/>
  <c r="K451" i="10"/>
  <c r="K454" i="10"/>
  <c r="K453" i="10"/>
  <c r="K455" i="10"/>
  <c r="K456" i="10"/>
  <c r="K457" i="10"/>
  <c r="K459" i="10"/>
  <c r="K460" i="10"/>
  <c r="K463" i="10"/>
  <c r="K464" i="10"/>
  <c r="K465" i="10"/>
  <c r="K466" i="10"/>
  <c r="K467" i="10"/>
  <c r="K469" i="10"/>
  <c r="K470" i="10"/>
  <c r="K471" i="10"/>
  <c r="K474" i="10"/>
  <c r="K473" i="10"/>
  <c r="K472" i="10"/>
  <c r="K475" i="10"/>
  <c r="K477" i="10"/>
  <c r="K478" i="10"/>
  <c r="K480" i="10"/>
  <c r="K481" i="10"/>
  <c r="K482" i="10"/>
  <c r="K483" i="10"/>
  <c r="K484" i="10"/>
  <c r="K485" i="10"/>
  <c r="K487" i="10"/>
  <c r="K488" i="10"/>
  <c r="K490" i="10"/>
  <c r="K489" i="10"/>
  <c r="K491" i="10"/>
  <c r="K493" i="10"/>
  <c r="K492" i="10"/>
  <c r="K496" i="10"/>
  <c r="K494" i="10"/>
  <c r="K497" i="10"/>
  <c r="K500" i="10"/>
  <c r="K499" i="10"/>
  <c r="K498" i="10"/>
  <c r="K502" i="10"/>
  <c r="K503" i="10"/>
  <c r="K504" i="10"/>
  <c r="K507" i="10"/>
  <c r="K508" i="10"/>
  <c r="K511" i="10"/>
  <c r="K512" i="10"/>
  <c r="K513" i="10"/>
  <c r="K514" i="10"/>
  <c r="K515" i="10"/>
  <c r="K516" i="10"/>
  <c r="K517" i="10"/>
  <c r="K518" i="10"/>
  <c r="K519" i="10"/>
  <c r="K520" i="10"/>
  <c r="K521" i="10"/>
  <c r="K523" i="10"/>
  <c r="K524" i="10"/>
  <c r="K522" i="10"/>
  <c r="K526" i="10"/>
  <c r="K527" i="10"/>
  <c r="K529" i="10"/>
  <c r="K530" i="10"/>
  <c r="K533" i="10"/>
  <c r="K534" i="10"/>
  <c r="K536" i="10"/>
  <c r="K537" i="10"/>
  <c r="K538" i="10"/>
  <c r="K539" i="10"/>
  <c r="K543" i="10"/>
  <c r="K546" i="10"/>
  <c r="K547" i="10"/>
  <c r="K548" i="10"/>
  <c r="K550" i="10"/>
  <c r="K549" i="10"/>
  <c r="K551" i="10"/>
  <c r="K552" i="10"/>
  <c r="K554" i="10"/>
  <c r="K556" i="10"/>
  <c r="K555" i="10"/>
  <c r="K557" i="10"/>
  <c r="K558" i="10"/>
  <c r="K560" i="10"/>
  <c r="K561" i="10"/>
  <c r="K559" i="10"/>
  <c r="K563" i="10"/>
  <c r="K562" i="10"/>
  <c r="K564" i="10"/>
  <c r="K566" i="10"/>
  <c r="K567" i="10"/>
  <c r="K568" i="10"/>
  <c r="K569" i="10"/>
  <c r="K570" i="10"/>
  <c r="K571" i="10"/>
  <c r="K572" i="10"/>
  <c r="K573" i="10"/>
  <c r="K574" i="10"/>
  <c r="K576" i="10"/>
  <c r="K575" i="10"/>
  <c r="K577" i="10"/>
  <c r="K578" i="10"/>
  <c r="K579" i="10"/>
  <c r="K580" i="10"/>
  <c r="K581" i="10"/>
  <c r="K583" i="10"/>
  <c r="K585" i="10"/>
  <c r="K588" i="10"/>
  <c r="K587" i="10"/>
  <c r="K589" i="10"/>
  <c r="K590" i="10"/>
  <c r="K592" i="10"/>
  <c r="K591" i="10"/>
  <c r="K593" i="10"/>
  <c r="K594" i="10"/>
  <c r="K595" i="10"/>
  <c r="K596" i="10"/>
  <c r="K597" i="10"/>
  <c r="K600" i="10"/>
  <c r="K599" i="10"/>
  <c r="K598" i="10"/>
  <c r="K601" i="10"/>
  <c r="K602" i="10"/>
  <c r="K603" i="10"/>
  <c r="K604" i="10"/>
  <c r="K605" i="10"/>
  <c r="K607" i="10"/>
  <c r="K610" i="10"/>
  <c r="K612" i="10"/>
  <c r="K614" i="10"/>
  <c r="K615" i="10"/>
  <c r="K616" i="10"/>
  <c r="K617" i="10"/>
  <c r="K618" i="10"/>
  <c r="K619" i="10"/>
  <c r="K622" i="10"/>
  <c r="K626" i="10"/>
  <c r="K625" i="10"/>
  <c r="K631" i="10"/>
  <c r="K630" i="10"/>
  <c r="K629" i="10"/>
  <c r="K632" i="10"/>
  <c r="K633" i="10"/>
  <c r="K635" i="10"/>
  <c r="K636" i="10"/>
  <c r="K637" i="10"/>
  <c r="K638" i="10"/>
  <c r="K639" i="10"/>
  <c r="K640" i="10"/>
  <c r="K641" i="10"/>
  <c r="K643" i="10"/>
  <c r="K644" i="10"/>
  <c r="K645" i="10"/>
  <c r="K642" i="10"/>
  <c r="K647" i="10"/>
  <c r="K646" i="10"/>
  <c r="K649" i="10"/>
  <c r="K648" i="10"/>
  <c r="K650" i="10"/>
  <c r="K652" i="10"/>
  <c r="K654" i="10"/>
  <c r="K655" i="10"/>
  <c r="K653" i="10"/>
  <c r="K656" i="10"/>
  <c r="K657" i="10"/>
  <c r="K659" i="10"/>
  <c r="K660" i="10"/>
  <c r="K661" i="10"/>
  <c r="K662" i="10"/>
  <c r="K664" i="10"/>
  <c r="K665" i="10"/>
  <c r="K666" i="10"/>
  <c r="K667" i="10"/>
  <c r="K668" i="10"/>
  <c r="K670" i="10"/>
  <c r="K669" i="10"/>
  <c r="K671" i="10"/>
  <c r="K672" i="10"/>
  <c r="K673" i="10"/>
  <c r="K674" i="10"/>
  <c r="K675" i="10"/>
  <c r="K676" i="10"/>
  <c r="K677" i="10"/>
  <c r="K678" i="10"/>
  <c r="K679" i="10"/>
  <c r="K680" i="10"/>
  <c r="K681" i="10"/>
  <c r="K683" i="10"/>
  <c r="K684" i="10"/>
  <c r="K688" i="10"/>
  <c r="K685" i="10"/>
  <c r="K687" i="10"/>
  <c r="K686" i="10"/>
  <c r="K689" i="10"/>
  <c r="K690" i="10"/>
  <c r="K692" i="10"/>
  <c r="K691" i="10"/>
  <c r="K693" i="10"/>
  <c r="K694" i="10"/>
  <c r="K698" i="10"/>
  <c r="K699" i="10"/>
  <c r="K700" i="10"/>
  <c r="K701" i="10"/>
  <c r="K702" i="10"/>
  <c r="K703" i="10"/>
  <c r="K704" i="10"/>
  <c r="K705" i="10"/>
  <c r="K706" i="10"/>
  <c r="K707" i="10"/>
  <c r="K708" i="10"/>
  <c r="K709" i="10"/>
  <c r="K711" i="10"/>
  <c r="K712" i="10"/>
  <c r="K710" i="10"/>
  <c r="K714" i="10"/>
  <c r="K713" i="10"/>
  <c r="K715" i="10"/>
  <c r="K716" i="10"/>
  <c r="K717" i="10"/>
  <c r="K718" i="10"/>
  <c r="K719" i="10"/>
  <c r="K720" i="10"/>
  <c r="K721" i="10"/>
  <c r="K722" i="10"/>
  <c r="K724" i="10"/>
  <c r="K723" i="10"/>
  <c r="K725" i="10"/>
  <c r="K726" i="10"/>
  <c r="K727" i="10"/>
  <c r="K728" i="10"/>
  <c r="K729" i="10"/>
  <c r="K730" i="10"/>
  <c r="K732" i="10"/>
  <c r="K731" i="10"/>
  <c r="K733" i="10"/>
  <c r="K734" i="10"/>
  <c r="K735" i="10"/>
  <c r="K736" i="10"/>
  <c r="K737" i="10"/>
  <c r="K738" i="10"/>
  <c r="K739" i="10"/>
  <c r="K740" i="10"/>
  <c r="K741" i="10"/>
  <c r="K742" i="10"/>
  <c r="K743" i="10"/>
  <c r="K744" i="10"/>
  <c r="K747" i="10"/>
  <c r="K748" i="10"/>
  <c r="K750" i="10"/>
  <c r="K751" i="10"/>
  <c r="K752" i="10"/>
  <c r="K753" i="10"/>
  <c r="K755" i="10"/>
  <c r="K754" i="10"/>
  <c r="K756" i="10"/>
  <c r="K759" i="10"/>
  <c r="K760" i="10"/>
  <c r="K758" i="10"/>
  <c r="K762" i="10"/>
  <c r="K761" i="10"/>
  <c r="K763" i="10"/>
  <c r="K765" i="10"/>
  <c r="K764" i="10"/>
  <c r="K767" i="10"/>
  <c r="K768" i="10"/>
  <c r="K769" i="10"/>
  <c r="K770" i="10"/>
  <c r="K771" i="10"/>
  <c r="K766" i="10"/>
  <c r="K774" i="10"/>
  <c r="K784" i="10"/>
  <c r="K787" i="10"/>
  <c r="K772" i="10"/>
  <c r="K789" i="10"/>
  <c r="K785" i="10"/>
  <c r="K775" i="10"/>
  <c r="K781" i="10"/>
  <c r="K790" i="10"/>
  <c r="K786" i="10"/>
  <c r="K778" i="10"/>
  <c r="K776" i="10"/>
  <c r="K780" i="10"/>
  <c r="K773" i="10"/>
  <c r="K779" i="10"/>
  <c r="K777" i="10"/>
  <c r="K788" i="10"/>
  <c r="K791" i="10"/>
  <c r="K793" i="10"/>
  <c r="K792" i="10"/>
  <c r="K794" i="10"/>
  <c r="K795" i="10"/>
  <c r="K796" i="10"/>
  <c r="K797" i="10"/>
  <c r="K798" i="10"/>
  <c r="K799" i="10"/>
  <c r="K800" i="10"/>
  <c r="K801" i="10"/>
  <c r="K802" i="10"/>
  <c r="K803" i="10"/>
  <c r="K804" i="10"/>
  <c r="K805" i="10"/>
  <c r="K806" i="10"/>
  <c r="K807" i="10"/>
  <c r="K808" i="10"/>
  <c r="K809" i="10"/>
  <c r="K812" i="10"/>
  <c r="K813" i="10"/>
  <c r="K814" i="10"/>
  <c r="K816" i="10"/>
  <c r="K817" i="10"/>
  <c r="K818" i="10"/>
  <c r="K819" i="10"/>
  <c r="K820" i="10"/>
  <c r="K821" i="10"/>
  <c r="K822" i="10"/>
  <c r="K824" i="10"/>
  <c r="K825" i="10"/>
  <c r="K827" i="10"/>
  <c r="K828" i="10"/>
  <c r="K829" i="10"/>
  <c r="K830" i="10"/>
  <c r="K831" i="10"/>
  <c r="K832" i="10"/>
  <c r="K833" i="10"/>
  <c r="K834" i="10"/>
  <c r="K835" i="10"/>
  <c r="K836" i="10"/>
  <c r="K837" i="10"/>
  <c r="K838" i="10"/>
  <c r="K839" i="10"/>
  <c r="K840" i="10"/>
  <c r="K841" i="10"/>
  <c r="K843" i="10"/>
  <c r="K842" i="10"/>
  <c r="K844" i="10"/>
  <c r="K845" i="10"/>
  <c r="K846" i="10"/>
  <c r="K847" i="10"/>
  <c r="K848" i="10"/>
  <c r="K849" i="10"/>
  <c r="K850" i="10"/>
  <c r="K851" i="10"/>
  <c r="K852" i="10"/>
  <c r="K853" i="10"/>
  <c r="K855" i="10"/>
  <c r="K854" i="10"/>
  <c r="K856" i="10"/>
  <c r="K857" i="10"/>
  <c r="K858" i="10"/>
  <c r="K859" i="10"/>
  <c r="K860" i="10"/>
  <c r="K861" i="10"/>
  <c r="K862" i="10"/>
  <c r="K864" i="10"/>
  <c r="K865" i="10"/>
  <c r="K867" i="10"/>
  <c r="K866" i="10"/>
  <c r="K868" i="10"/>
  <c r="K869" i="10"/>
  <c r="K870" i="10"/>
  <c r="K871" i="10"/>
  <c r="K872" i="10"/>
  <c r="K873" i="10"/>
  <c r="K874" i="10"/>
  <c r="K875" i="10"/>
  <c r="K876" i="10"/>
  <c r="K877" i="10"/>
  <c r="K878" i="10"/>
  <c r="K879" i="10"/>
  <c r="K880" i="10"/>
  <c r="K881" i="10"/>
  <c r="K882" i="10"/>
  <c r="K883" i="10"/>
  <c r="K885" i="10"/>
  <c r="K888" i="10"/>
  <c r="K890" i="10"/>
  <c r="K889" i="10"/>
  <c r="K891" i="10"/>
  <c r="K894" i="10"/>
  <c r="K893" i="10"/>
  <c r="K892" i="10"/>
  <c r="K895" i="10"/>
  <c r="K897" i="10"/>
  <c r="K896" i="10"/>
  <c r="K898" i="10"/>
  <c r="K900" i="10"/>
  <c r="K899" i="10"/>
  <c r="K902" i="10"/>
  <c r="K904" i="10"/>
  <c r="K903" i="10"/>
  <c r="K905" i="10"/>
  <c r="K906" i="10"/>
  <c r="K907" i="10"/>
  <c r="K908" i="10"/>
  <c r="K909" i="10"/>
  <c r="K910" i="10"/>
  <c r="K913" i="10"/>
  <c r="K911" i="10"/>
  <c r="K912" i="10"/>
  <c r="K915" i="10"/>
  <c r="K914" i="10"/>
  <c r="K916" i="10"/>
  <c r="K917" i="10"/>
  <c r="K918" i="10"/>
  <c r="K919" i="10"/>
  <c r="K920" i="10"/>
  <c r="K921" i="10"/>
  <c r="K922" i="10"/>
  <c r="K923" i="10"/>
  <c r="K924" i="10"/>
  <c r="K925" i="10"/>
  <c r="K926" i="10"/>
  <c r="K927" i="10"/>
  <c r="K934" i="10"/>
  <c r="K930" i="10"/>
  <c r="K937" i="10"/>
  <c r="K929" i="10"/>
  <c r="K932" i="10"/>
  <c r="K935" i="10"/>
  <c r="K939" i="10"/>
  <c r="K936" i="10"/>
  <c r="K933" i="10"/>
  <c r="K938" i="10"/>
  <c r="K940" i="10"/>
  <c r="K941" i="10"/>
  <c r="K931" i="10"/>
  <c r="K942" i="10"/>
  <c r="K943" i="10"/>
  <c r="K944" i="10"/>
  <c r="K945" i="10"/>
  <c r="K946" i="10"/>
  <c r="K947" i="10"/>
  <c r="K948" i="10"/>
  <c r="K949" i="10"/>
  <c r="K951" i="10"/>
  <c r="K953" i="10"/>
  <c r="K954" i="10"/>
  <c r="K956" i="10"/>
  <c r="K957" i="10"/>
  <c r="K958" i="10"/>
  <c r="K959" i="10"/>
  <c r="K961" i="10"/>
  <c r="K962" i="10"/>
  <c r="K963" i="10"/>
  <c r="K965" i="10"/>
  <c r="K964" i="10"/>
  <c r="K966" i="10"/>
  <c r="K967" i="10"/>
  <c r="K968" i="10"/>
  <c r="K969" i="10"/>
  <c r="K970" i="10"/>
  <c r="K971" i="10"/>
  <c r="K972" i="10"/>
  <c r="K973" i="10"/>
  <c r="K974" i="10"/>
  <c r="K975" i="10"/>
  <c r="K976" i="10"/>
  <c r="K977" i="10"/>
  <c r="K978" i="10"/>
  <c r="K979" i="10"/>
  <c r="K981" i="10"/>
  <c r="K980" i="10"/>
  <c r="K982" i="10"/>
  <c r="K983" i="10"/>
  <c r="K984" i="10"/>
  <c r="K985" i="10"/>
  <c r="K988" i="10"/>
  <c r="K992" i="10"/>
  <c r="K991" i="10"/>
  <c r="K993" i="10"/>
  <c r="K990" i="10"/>
  <c r="K994" i="10"/>
  <c r="K995" i="10"/>
  <c r="K996" i="10"/>
  <c r="K997" i="10"/>
  <c r="K999" i="10"/>
  <c r="K1002" i="10"/>
  <c r="K1000" i="10"/>
  <c r="K1001" i="10"/>
  <c r="K1004" i="10"/>
  <c r="K1005" i="10"/>
  <c r="K1006" i="10"/>
  <c r="K1007" i="10"/>
  <c r="K1009" i="10"/>
  <c r="K1011" i="10"/>
  <c r="K1010" i="10"/>
  <c r="K1012" i="10"/>
  <c r="K1013" i="10"/>
  <c r="K1014" i="10"/>
  <c r="K1015" i="10"/>
  <c r="K1017" i="10"/>
  <c r="K1016" i="10"/>
  <c r="K1019" i="10"/>
  <c r="K1020" i="10"/>
  <c r="K1021" i="10"/>
  <c r="K1022" i="10"/>
  <c r="K1024" i="10"/>
  <c r="K1023" i="10"/>
  <c r="K1025" i="10"/>
  <c r="K1027" i="10"/>
  <c r="K1028" i="10"/>
  <c r="K1029" i="10"/>
  <c r="K1030" i="10"/>
  <c r="K1031" i="10"/>
  <c r="K1032" i="10"/>
  <c r="K1033" i="10"/>
  <c r="K1035" i="10"/>
  <c r="K1036" i="10"/>
  <c r="K1037" i="10"/>
  <c r="K1039" i="10"/>
  <c r="K1041" i="10"/>
  <c r="K1042" i="10"/>
  <c r="K1043" i="10"/>
  <c r="K1044" i="10"/>
  <c r="K1048" i="10"/>
  <c r="K1046" i="10"/>
  <c r="K1049" i="10"/>
  <c r="K1045" i="10"/>
  <c r="K1050" i="10"/>
  <c r="K1051" i="10"/>
  <c r="K1052" i="10"/>
  <c r="K1053" i="10"/>
  <c r="K1054" i="10"/>
  <c r="K1055" i="10"/>
  <c r="K1056" i="10"/>
  <c r="K1057" i="10"/>
  <c r="K1061" i="10"/>
  <c r="K1060" i="10"/>
  <c r="K1062" i="10"/>
  <c r="K1063" i="10"/>
  <c r="K1065" i="10"/>
  <c r="K1066" i="10"/>
  <c r="K1067" i="10"/>
  <c r="K1068" i="10"/>
  <c r="K1069" i="10"/>
  <c r="K1071" i="10"/>
  <c r="K1070" i="10"/>
  <c r="K1073" i="10"/>
  <c r="K1074" i="10"/>
  <c r="K1072" i="10"/>
  <c r="K1075" i="10"/>
  <c r="K1076" i="10"/>
  <c r="K1077" i="10"/>
  <c r="K1078" i="10"/>
  <c r="K1079" i="10"/>
  <c r="K1081" i="10"/>
  <c r="K1080" i="10"/>
  <c r="K1082" i="10"/>
  <c r="K1083" i="10"/>
  <c r="K1084" i="10"/>
  <c r="K1085" i="10"/>
  <c r="K1086" i="10"/>
  <c r="K1087" i="10"/>
  <c r="K1088" i="10"/>
  <c r="K1092" i="10"/>
  <c r="K1089" i="10"/>
  <c r="K1090" i="10"/>
  <c r="K1093" i="10"/>
  <c r="K1094" i="10"/>
  <c r="K2" i="10"/>
  <c r="O567" i="10"/>
  <c r="C567" i="10"/>
  <c r="O3" i="10"/>
  <c r="O4" i="10"/>
  <c r="O6" i="10"/>
  <c r="O7" i="10"/>
  <c r="O8" i="10"/>
  <c r="O9" i="10"/>
  <c r="O11" i="10"/>
  <c r="O12" i="10"/>
  <c r="O13" i="10"/>
  <c r="O15" i="10"/>
  <c r="O16" i="10"/>
  <c r="O18" i="10"/>
  <c r="O14" i="10"/>
  <c r="O17" i="10"/>
  <c r="O20" i="10"/>
  <c r="O19" i="10"/>
  <c r="O21" i="10"/>
  <c r="O22" i="10"/>
  <c r="O25" i="10"/>
  <c r="O23" i="10"/>
  <c r="O24" i="10"/>
  <c r="O27" i="10"/>
  <c r="O28" i="10"/>
  <c r="O29" i="10"/>
  <c r="O30" i="10"/>
  <c r="O31" i="10"/>
  <c r="O33" i="10"/>
  <c r="O32" i="10"/>
  <c r="O34" i="10"/>
  <c r="O36" i="10"/>
  <c r="O37" i="10"/>
  <c r="O38" i="10"/>
  <c r="O39" i="10"/>
  <c r="O41" i="10"/>
  <c r="O40" i="10"/>
  <c r="O42" i="10"/>
  <c r="O44" i="10"/>
  <c r="O45" i="10"/>
  <c r="O46" i="10"/>
  <c r="O47" i="10"/>
  <c r="O48" i="10"/>
  <c r="O49" i="10"/>
  <c r="O50" i="10"/>
  <c r="O51" i="10"/>
  <c r="O52" i="10"/>
  <c r="O54" i="10"/>
  <c r="O55" i="10"/>
  <c r="O56" i="10"/>
  <c r="O57" i="10"/>
  <c r="O58" i="10"/>
  <c r="O59" i="10"/>
  <c r="O60" i="10"/>
  <c r="O61" i="10"/>
  <c r="O62" i="10"/>
  <c r="O64" i="10"/>
  <c r="O65" i="10"/>
  <c r="O66" i="10"/>
  <c r="O67" i="10"/>
  <c r="O68" i="10"/>
  <c r="O69" i="10"/>
  <c r="O70" i="10"/>
  <c r="O71" i="10"/>
  <c r="O72" i="10"/>
  <c r="O73" i="10"/>
  <c r="O74" i="10"/>
  <c r="O76" i="10"/>
  <c r="O75" i="10"/>
  <c r="O78" i="10"/>
  <c r="O80" i="10"/>
  <c r="O79" i="10"/>
  <c r="O83" i="10"/>
  <c r="O82" i="10"/>
  <c r="O85" i="10"/>
  <c r="O84" i="10"/>
  <c r="O87" i="10"/>
  <c r="O91" i="10"/>
  <c r="O92" i="10"/>
  <c r="O93" i="10"/>
  <c r="O94" i="10"/>
  <c r="O95" i="10"/>
  <c r="O96" i="10"/>
  <c r="O98" i="10"/>
  <c r="O97" i="10"/>
  <c r="O99" i="10"/>
  <c r="O100" i="10"/>
  <c r="O101" i="10"/>
  <c r="O102" i="10"/>
  <c r="O103" i="10"/>
  <c r="O104" i="10"/>
  <c r="O105" i="10"/>
  <c r="O106" i="10"/>
  <c r="O107" i="10"/>
  <c r="O108" i="10"/>
  <c r="O109" i="10"/>
  <c r="O112" i="10"/>
  <c r="O113" i="10"/>
  <c r="O114" i="10"/>
  <c r="O115" i="10"/>
  <c r="O116" i="10"/>
  <c r="O118" i="10"/>
  <c r="O117" i="10"/>
  <c r="O123" i="10"/>
  <c r="O122" i="10"/>
  <c r="O120" i="10"/>
  <c r="O121" i="10"/>
  <c r="O125" i="10"/>
  <c r="O126" i="10"/>
  <c r="O129" i="10"/>
  <c r="O127" i="10"/>
  <c r="O128" i="10"/>
  <c r="O130" i="10"/>
  <c r="O131" i="10"/>
  <c r="O133" i="10"/>
  <c r="O134" i="10"/>
  <c r="O135" i="10"/>
  <c r="O136" i="10"/>
  <c r="O137" i="10"/>
  <c r="O138" i="10"/>
  <c r="O139" i="10"/>
  <c r="O140" i="10"/>
  <c r="O141" i="10"/>
  <c r="O144" i="10"/>
  <c r="O145" i="10"/>
  <c r="O142" i="10"/>
  <c r="O143" i="10"/>
  <c r="O148" i="10"/>
  <c r="O149" i="10"/>
  <c r="O150" i="10"/>
  <c r="O152" i="10"/>
  <c r="O153" i="10"/>
  <c r="O154" i="10"/>
  <c r="O155" i="10"/>
  <c r="O156" i="10"/>
  <c r="O157" i="10"/>
  <c r="O158" i="10"/>
  <c r="O160" i="10"/>
  <c r="O161" i="10"/>
  <c r="O162" i="10"/>
  <c r="O163" i="10"/>
  <c r="O166" i="10"/>
  <c r="O167" i="10"/>
  <c r="O168" i="10"/>
  <c r="O169" i="10"/>
  <c r="O170" i="10"/>
  <c r="O171" i="10"/>
  <c r="O172" i="10"/>
  <c r="O173" i="10"/>
  <c r="O174" i="10"/>
  <c r="O175" i="10"/>
  <c r="O176" i="10"/>
  <c r="O178" i="10"/>
  <c r="O177" i="10"/>
  <c r="O179" i="10"/>
  <c r="O180" i="10"/>
  <c r="O184" i="10"/>
  <c r="O185" i="10"/>
  <c r="O182" i="10"/>
  <c r="O183" i="10"/>
  <c r="O186" i="10"/>
  <c r="O188" i="10"/>
  <c r="O189" i="10"/>
  <c r="O191" i="10"/>
  <c r="O190" i="10"/>
  <c r="O192" i="10"/>
  <c r="O193" i="10"/>
  <c r="O194" i="10"/>
  <c r="O195" i="10"/>
  <c r="O196" i="10"/>
  <c r="O197" i="10"/>
  <c r="O198" i="10"/>
  <c r="O199" i="10"/>
  <c r="O201" i="10"/>
  <c r="O200" i="10"/>
  <c r="O202" i="10"/>
  <c r="O203" i="10"/>
  <c r="O204" i="10"/>
  <c r="O205" i="10"/>
  <c r="O206" i="10"/>
  <c r="O207" i="10"/>
  <c r="O208" i="10"/>
  <c r="O211" i="10"/>
  <c r="O212" i="10"/>
  <c r="O213" i="10"/>
  <c r="O214" i="10"/>
  <c r="O215" i="10"/>
  <c r="O216" i="10"/>
  <c r="O217" i="10"/>
  <c r="O218" i="10"/>
  <c r="O219" i="10"/>
  <c r="O220" i="10"/>
  <c r="O221" i="10"/>
  <c r="O224" i="10"/>
  <c r="O225" i="10"/>
  <c r="O223" i="10"/>
  <c r="O227" i="10"/>
  <c r="O228" i="10"/>
  <c r="O230" i="10"/>
  <c r="O232" i="10"/>
  <c r="O233" i="10"/>
  <c r="O234" i="10"/>
  <c r="O235" i="10"/>
  <c r="O237" i="10"/>
  <c r="O236" i="10"/>
  <c r="O238" i="10"/>
  <c r="O239" i="10"/>
  <c r="O240" i="10"/>
  <c r="O241" i="10"/>
  <c r="O242" i="10"/>
  <c r="O243" i="10"/>
  <c r="O244" i="10"/>
  <c r="O245" i="10"/>
  <c r="O246" i="10"/>
  <c r="O248" i="10"/>
  <c r="O249" i="10"/>
  <c r="O250" i="10"/>
  <c r="O251" i="10"/>
  <c r="O254" i="10"/>
  <c r="O252" i="10"/>
  <c r="O253" i="10"/>
  <c r="O257" i="10"/>
  <c r="O258" i="10"/>
  <c r="O259" i="10"/>
  <c r="O260" i="10"/>
  <c r="O261" i="10"/>
  <c r="O262" i="10"/>
  <c r="O263" i="10"/>
  <c r="O265" i="10"/>
  <c r="O266" i="10"/>
  <c r="O268" i="10"/>
  <c r="O269" i="10"/>
  <c r="O270" i="10"/>
  <c r="O271" i="10"/>
  <c r="O272" i="10"/>
  <c r="O273" i="10"/>
  <c r="O276" i="10"/>
  <c r="O277" i="10"/>
  <c r="O275" i="10"/>
  <c r="O279" i="10"/>
  <c r="O280" i="10"/>
  <c r="O281" i="10"/>
  <c r="O282" i="10"/>
  <c r="O283" i="10"/>
  <c r="O284" i="10"/>
  <c r="O285" i="10"/>
  <c r="O287" i="10"/>
  <c r="O288" i="10"/>
  <c r="O289" i="10"/>
  <c r="O291" i="10"/>
  <c r="O290" i="10"/>
  <c r="O292" i="10"/>
  <c r="O293" i="10"/>
  <c r="O294" i="10"/>
  <c r="O295" i="10"/>
  <c r="O296" i="10"/>
  <c r="O297" i="10"/>
  <c r="O298" i="10"/>
  <c r="O299" i="10"/>
  <c r="O300" i="10"/>
  <c r="O303" i="10"/>
  <c r="O304" i="10"/>
  <c r="O309" i="10"/>
  <c r="O315" i="10"/>
  <c r="O310" i="10"/>
  <c r="O308" i="10"/>
  <c r="O306" i="10"/>
  <c r="O314" i="10"/>
  <c r="O313" i="10"/>
  <c r="O316" i="10"/>
  <c r="O317" i="10"/>
  <c r="O319" i="10"/>
  <c r="O318" i="10"/>
  <c r="O321" i="10"/>
  <c r="O322" i="10"/>
  <c r="O324" i="10"/>
  <c r="O325" i="10"/>
  <c r="O327" i="10"/>
  <c r="O326" i="10"/>
  <c r="O329" i="10"/>
  <c r="O328" i="10"/>
  <c r="O330" i="10"/>
  <c r="O331" i="10"/>
  <c r="O332" i="10"/>
  <c r="O333" i="10"/>
  <c r="O334" i="10"/>
  <c r="O335" i="10"/>
  <c r="O336" i="10"/>
  <c r="O337" i="10"/>
  <c r="O338" i="10"/>
  <c r="O339" i="10"/>
  <c r="O340" i="10"/>
  <c r="O341" i="10"/>
  <c r="O342" i="10"/>
  <c r="O343" i="10"/>
  <c r="O344" i="10"/>
  <c r="O345" i="10"/>
  <c r="O346" i="10"/>
  <c r="O347" i="10"/>
  <c r="O349" i="10"/>
  <c r="O350" i="10"/>
  <c r="O353" i="10"/>
  <c r="O352" i="10"/>
  <c r="O354" i="10"/>
  <c r="O355" i="10"/>
  <c r="O357" i="10"/>
  <c r="O356" i="10"/>
  <c r="O358" i="10"/>
  <c r="O359" i="10"/>
  <c r="O360" i="10"/>
  <c r="O361" i="10"/>
  <c r="O362" i="10"/>
  <c r="O364" i="10"/>
  <c r="O365" i="10"/>
  <c r="O367" i="10"/>
  <c r="O366" i="10"/>
  <c r="O369" i="10"/>
  <c r="O370" i="10"/>
  <c r="O368" i="10"/>
  <c r="O371" i="10"/>
  <c r="O372" i="10"/>
  <c r="O373" i="10"/>
  <c r="O374" i="10"/>
  <c r="O375" i="10"/>
  <c r="O377" i="10"/>
  <c r="O378" i="10"/>
  <c r="O379" i="10"/>
  <c r="O380" i="10"/>
  <c r="O381" i="10"/>
  <c r="O383" i="10"/>
  <c r="O382" i="10"/>
  <c r="O384" i="10"/>
  <c r="O386" i="10"/>
  <c r="O387" i="10"/>
  <c r="O388" i="10"/>
  <c r="O389" i="10"/>
  <c r="O390" i="10"/>
  <c r="O391" i="10"/>
  <c r="O393" i="10"/>
  <c r="O394" i="10"/>
  <c r="O395" i="10"/>
  <c r="O396" i="10"/>
  <c r="O397" i="10"/>
  <c r="O398" i="10"/>
  <c r="O399" i="10"/>
  <c r="O400" i="10"/>
  <c r="O401" i="10"/>
  <c r="O402" i="10"/>
  <c r="O403" i="10"/>
  <c r="O404" i="10"/>
  <c r="O405" i="10"/>
  <c r="O406" i="10"/>
  <c r="O407" i="10"/>
  <c r="O408" i="10"/>
  <c r="O410" i="10"/>
  <c r="O412" i="10"/>
  <c r="O411" i="10"/>
  <c r="O409" i="10"/>
  <c r="O413" i="10"/>
  <c r="O416" i="10"/>
  <c r="O415" i="10"/>
  <c r="O417" i="10"/>
  <c r="O418" i="10"/>
  <c r="O419" i="10"/>
  <c r="O420" i="10"/>
  <c r="O421" i="10"/>
  <c r="O424" i="10"/>
  <c r="O425" i="10"/>
  <c r="O426" i="10"/>
  <c r="O427" i="10"/>
  <c r="O429" i="10"/>
  <c r="O433" i="10"/>
  <c r="O435" i="10"/>
  <c r="O434" i="10"/>
  <c r="O436" i="10"/>
  <c r="O437" i="10"/>
  <c r="O438" i="10"/>
  <c r="O439" i="10"/>
  <c r="O440" i="10"/>
  <c r="O441" i="10"/>
  <c r="O442" i="10"/>
  <c r="O443" i="10"/>
  <c r="O444" i="10"/>
  <c r="O445" i="10"/>
  <c r="O446" i="10"/>
  <c r="O448" i="10"/>
  <c r="O449" i="10"/>
  <c r="O450" i="10"/>
  <c r="O451" i="10"/>
  <c r="O454" i="10"/>
  <c r="O453" i="10"/>
  <c r="O455" i="10"/>
  <c r="O456" i="10"/>
  <c r="O457" i="10"/>
  <c r="O459" i="10"/>
  <c r="O460" i="10"/>
  <c r="O463" i="10"/>
  <c r="O464" i="10"/>
  <c r="O465" i="10"/>
  <c r="O466" i="10"/>
  <c r="O467" i="10"/>
  <c r="O469" i="10"/>
  <c r="O470" i="10"/>
  <c r="O471" i="10"/>
  <c r="O474" i="10"/>
  <c r="O473" i="10"/>
  <c r="O472" i="10"/>
  <c r="O475" i="10"/>
  <c r="O477" i="10"/>
  <c r="O480" i="10"/>
  <c r="O482" i="10"/>
  <c r="O483" i="10"/>
  <c r="O484" i="10"/>
  <c r="O485" i="10"/>
  <c r="O487" i="10"/>
  <c r="O488" i="10"/>
  <c r="O490" i="10"/>
  <c r="O489" i="10"/>
  <c r="O493" i="10"/>
  <c r="O492" i="10"/>
  <c r="O496" i="10"/>
  <c r="O494" i="10"/>
  <c r="O497" i="10"/>
  <c r="O500" i="10"/>
  <c r="O499" i="10"/>
  <c r="O498" i="10"/>
  <c r="O502" i="10"/>
  <c r="O503" i="10"/>
  <c r="O504" i="10"/>
  <c r="O507" i="10"/>
  <c r="O508" i="10"/>
  <c r="O511" i="10"/>
  <c r="O512" i="10"/>
  <c r="O513" i="10"/>
  <c r="O515" i="10"/>
  <c r="O516" i="10"/>
  <c r="O517" i="10"/>
  <c r="O518" i="10"/>
  <c r="O519" i="10"/>
  <c r="O520" i="10"/>
  <c r="O521" i="10"/>
  <c r="O523" i="10"/>
  <c r="O524" i="10"/>
  <c r="O522" i="10"/>
  <c r="O526" i="10"/>
  <c r="O527" i="10"/>
  <c r="O529" i="10"/>
  <c r="O530" i="10"/>
  <c r="O533" i="10"/>
  <c r="O534" i="10"/>
  <c r="O536" i="10"/>
  <c r="O537" i="10"/>
  <c r="O538" i="10"/>
  <c r="O539" i="10"/>
  <c r="O543" i="10"/>
  <c r="O547" i="10"/>
  <c r="O548" i="10"/>
  <c r="O550" i="10"/>
  <c r="O549" i="10"/>
  <c r="O551" i="10"/>
  <c r="O552" i="10"/>
  <c r="O554" i="10"/>
  <c r="O556" i="10"/>
  <c r="O555" i="10"/>
  <c r="O557" i="10"/>
  <c r="O558" i="10"/>
  <c r="O560" i="10"/>
  <c r="O561" i="10"/>
  <c r="O559" i="10"/>
  <c r="O563" i="10"/>
  <c r="O562" i="10"/>
  <c r="O564" i="10"/>
  <c r="O566" i="10"/>
  <c r="O568" i="10"/>
  <c r="O569" i="10"/>
  <c r="O570" i="10"/>
  <c r="O571" i="10"/>
  <c r="O572" i="10"/>
  <c r="O573" i="10"/>
  <c r="O574" i="10"/>
  <c r="O576" i="10"/>
  <c r="O575" i="10"/>
  <c r="O577" i="10"/>
  <c r="O578" i="10"/>
  <c r="O579" i="10"/>
  <c r="O580" i="10"/>
  <c r="O581" i="10"/>
  <c r="O583" i="10"/>
  <c r="O585" i="10"/>
  <c r="O588" i="10"/>
  <c r="O587" i="10"/>
  <c r="O589" i="10"/>
  <c r="O590" i="10"/>
  <c r="O592" i="10"/>
  <c r="O591" i="10"/>
  <c r="O593" i="10"/>
  <c r="O594" i="10"/>
  <c r="O595" i="10"/>
  <c r="O596" i="10"/>
  <c r="O597" i="10"/>
  <c r="O600" i="10"/>
  <c r="O599" i="10"/>
  <c r="O598" i="10"/>
  <c r="O601" i="10"/>
  <c r="O602" i="10"/>
  <c r="O604" i="10"/>
  <c r="O605" i="10"/>
  <c r="O607" i="10"/>
  <c r="O610" i="10"/>
  <c r="O612" i="10"/>
  <c r="O614" i="10"/>
  <c r="O615" i="10"/>
  <c r="O616" i="10"/>
  <c r="O617" i="10"/>
  <c r="O618" i="10"/>
  <c r="O619" i="10"/>
  <c r="O622" i="10"/>
  <c r="O626" i="10"/>
  <c r="O625" i="10"/>
  <c r="O631" i="10"/>
  <c r="O630" i="10"/>
  <c r="O629" i="10"/>
  <c r="O632" i="10"/>
  <c r="O633" i="10"/>
  <c r="O635" i="10"/>
  <c r="O636" i="10"/>
  <c r="O637" i="10"/>
  <c r="O638" i="10"/>
  <c r="O639" i="10"/>
  <c r="O640" i="10"/>
  <c r="O641" i="10"/>
  <c r="O643" i="10"/>
  <c r="O645" i="10"/>
  <c r="O642" i="10"/>
  <c r="O647" i="10"/>
  <c r="O646" i="10"/>
  <c r="O649" i="10"/>
  <c r="O648" i="10"/>
  <c r="O650" i="10"/>
  <c r="O652" i="10"/>
  <c r="O654" i="10"/>
  <c r="O655" i="10"/>
  <c r="O653" i="10"/>
  <c r="O656" i="10"/>
  <c r="O657" i="10"/>
  <c r="O659" i="10"/>
  <c r="O660" i="10"/>
  <c r="O661" i="10"/>
  <c r="O662" i="10"/>
  <c r="O664" i="10"/>
  <c r="O666" i="10"/>
  <c r="O667" i="10"/>
  <c r="O668" i="10"/>
  <c r="O670" i="10"/>
  <c r="O669" i="10"/>
  <c r="O671" i="10"/>
  <c r="O672" i="10"/>
  <c r="O673" i="10"/>
  <c r="O674" i="10"/>
  <c r="O675" i="10"/>
  <c r="O676" i="10"/>
  <c r="O677" i="10"/>
  <c r="O678" i="10"/>
  <c r="O679" i="10"/>
  <c r="O680" i="10"/>
  <c r="O681" i="10"/>
  <c r="O683" i="10"/>
  <c r="O684" i="10"/>
  <c r="O688" i="10"/>
  <c r="O685" i="10"/>
  <c r="O689" i="10"/>
  <c r="O690" i="10"/>
  <c r="O692" i="10"/>
  <c r="O691" i="10"/>
  <c r="O693" i="10"/>
  <c r="O694" i="10"/>
  <c r="O698" i="10"/>
  <c r="O699" i="10"/>
  <c r="O700" i="10"/>
  <c r="O701" i="10"/>
  <c r="O702" i="10"/>
  <c r="O703" i="10"/>
  <c r="O704" i="10"/>
  <c r="O705" i="10"/>
  <c r="O706" i="10"/>
  <c r="O708" i="10"/>
  <c r="O709" i="10"/>
  <c r="O711" i="10"/>
  <c r="O712" i="10"/>
  <c r="O710" i="10"/>
  <c r="O714" i="10"/>
  <c r="O713" i="10"/>
  <c r="O715" i="10"/>
  <c r="O716" i="10"/>
  <c r="O717" i="10"/>
  <c r="O718" i="10"/>
  <c r="O719" i="10"/>
  <c r="O720" i="10"/>
  <c r="O721" i="10"/>
  <c r="O722" i="10"/>
  <c r="O724" i="10"/>
  <c r="O723" i="10"/>
  <c r="O725" i="10"/>
  <c r="O726" i="10"/>
  <c r="O727" i="10"/>
  <c r="O728" i="10"/>
  <c r="O729" i="10"/>
  <c r="O730" i="10"/>
  <c r="O732" i="10"/>
  <c r="O731" i="10"/>
  <c r="O733" i="10"/>
  <c r="O734" i="10"/>
  <c r="O735" i="10"/>
  <c r="O736" i="10"/>
  <c r="O737" i="10"/>
  <c r="O738" i="10"/>
  <c r="O739" i="10"/>
  <c r="O740" i="10"/>
  <c r="O741" i="10"/>
  <c r="O742" i="10"/>
  <c r="O743" i="10"/>
  <c r="O744" i="10"/>
  <c r="O747" i="10"/>
  <c r="O750" i="10"/>
  <c r="O752" i="10"/>
  <c r="O753" i="10"/>
  <c r="O755" i="10"/>
  <c r="O754" i="10"/>
  <c r="O756" i="10"/>
  <c r="O759" i="10"/>
  <c r="O760" i="10"/>
  <c r="O758" i="10"/>
  <c r="O762" i="10"/>
  <c r="O761" i="10"/>
  <c r="O763" i="10"/>
  <c r="O765" i="10"/>
  <c r="O764" i="10"/>
  <c r="O767" i="10"/>
  <c r="O768" i="10"/>
  <c r="O769" i="10"/>
  <c r="O770" i="10"/>
  <c r="O771" i="10"/>
  <c r="O766" i="10"/>
  <c r="O774" i="10"/>
  <c r="O784" i="10"/>
  <c r="O787" i="10"/>
  <c r="O772" i="10"/>
  <c r="O789" i="10"/>
  <c r="O785" i="10"/>
  <c r="O775" i="10"/>
  <c r="O781" i="10"/>
  <c r="O786" i="10"/>
  <c r="O778" i="10"/>
  <c r="O776" i="10"/>
  <c r="O780" i="10"/>
  <c r="O779" i="10"/>
  <c r="O788" i="10"/>
  <c r="O791" i="10"/>
  <c r="O793" i="10"/>
  <c r="O792" i="10"/>
  <c r="O794" i="10"/>
  <c r="O795" i="10"/>
  <c r="O796" i="10"/>
  <c r="O797" i="10"/>
  <c r="O798" i="10"/>
  <c r="O799" i="10"/>
  <c r="O800" i="10"/>
  <c r="O801" i="10"/>
  <c r="O802" i="10"/>
  <c r="O803" i="10"/>
  <c r="O804" i="10"/>
  <c r="O805" i="10"/>
  <c r="O807" i="10"/>
  <c r="O808" i="10"/>
  <c r="O809" i="10"/>
  <c r="O812" i="10"/>
  <c r="O813" i="10"/>
  <c r="O814" i="10"/>
  <c r="O816" i="10"/>
  <c r="O817" i="10"/>
  <c r="O818" i="10"/>
  <c r="O819" i="10"/>
  <c r="O820" i="10"/>
  <c r="O821" i="10"/>
  <c r="O825" i="10"/>
  <c r="O827" i="10"/>
  <c r="O828" i="10"/>
  <c r="O829" i="10"/>
  <c r="O830" i="10"/>
  <c r="O831" i="10"/>
  <c r="O832" i="10"/>
  <c r="O833" i="10"/>
  <c r="O834" i="10"/>
  <c r="O835" i="10"/>
  <c r="O836" i="10"/>
  <c r="O837" i="10"/>
  <c r="O838" i="10"/>
  <c r="O839" i="10"/>
  <c r="O840" i="10"/>
  <c r="O841" i="10"/>
  <c r="O843" i="10"/>
  <c r="O842" i="10"/>
  <c r="O844" i="10"/>
  <c r="O845" i="10"/>
  <c r="O846" i="10"/>
  <c r="O847" i="10"/>
  <c r="O848" i="10"/>
  <c r="O849" i="10"/>
  <c r="O850" i="10"/>
  <c r="O852" i="10"/>
  <c r="O853" i="10"/>
  <c r="O855" i="10"/>
  <c r="O854" i="10"/>
  <c r="O856" i="10"/>
  <c r="O857" i="10"/>
  <c r="O859" i="10"/>
  <c r="O860" i="10"/>
  <c r="O861" i="10"/>
  <c r="O862" i="10"/>
  <c r="O864" i="10"/>
  <c r="O865" i="10"/>
  <c r="O867" i="10"/>
  <c r="O866" i="10"/>
  <c r="O868" i="10"/>
  <c r="O869" i="10"/>
  <c r="O870" i="10"/>
  <c r="O871" i="10"/>
  <c r="O872" i="10"/>
  <c r="O873" i="10"/>
  <c r="O874" i="10"/>
  <c r="O875" i="10"/>
  <c r="O876" i="10"/>
  <c r="O877" i="10"/>
  <c r="O878" i="10"/>
  <c r="O879" i="10"/>
  <c r="O880" i="10"/>
  <c r="O881" i="10"/>
  <c r="O882" i="10"/>
  <c r="O883" i="10"/>
  <c r="O885" i="10"/>
  <c r="O888" i="10"/>
  <c r="O890" i="10"/>
  <c r="O889" i="10"/>
  <c r="O891" i="10"/>
  <c r="O894" i="10"/>
  <c r="O893" i="10"/>
  <c r="O892" i="10"/>
  <c r="O895" i="10"/>
  <c r="O897" i="10"/>
  <c r="O896" i="10"/>
  <c r="O898" i="10"/>
  <c r="O900" i="10"/>
  <c r="O899" i="10"/>
  <c r="O902" i="10"/>
  <c r="O904" i="10"/>
  <c r="O903" i="10"/>
  <c r="O905" i="10"/>
  <c r="O906" i="10"/>
  <c r="O907" i="10"/>
  <c r="O908" i="10"/>
  <c r="O909" i="10"/>
  <c r="O910" i="10"/>
  <c r="O913" i="10"/>
  <c r="O911" i="10"/>
  <c r="O912" i="10"/>
  <c r="O915" i="10"/>
  <c r="O914" i="10"/>
  <c r="O916" i="10"/>
  <c r="O917" i="10"/>
  <c r="O918" i="10"/>
  <c r="O919" i="10"/>
  <c r="O920" i="10"/>
  <c r="O921" i="10"/>
  <c r="O922" i="10"/>
  <c r="O923" i="10"/>
  <c r="O924" i="10"/>
  <c r="O925" i="10"/>
  <c r="O926" i="10"/>
  <c r="O927" i="10"/>
  <c r="O934" i="10"/>
  <c r="O930" i="10"/>
  <c r="O937" i="10"/>
  <c r="O929" i="10"/>
  <c r="O932" i="10"/>
  <c r="O935" i="10"/>
  <c r="O939" i="10"/>
  <c r="O936" i="10"/>
  <c r="O933" i="10"/>
  <c r="O938" i="10"/>
  <c r="O940" i="10"/>
  <c r="O941" i="10"/>
  <c r="O931" i="10"/>
  <c r="O942" i="10"/>
  <c r="O943" i="10"/>
  <c r="O944" i="10"/>
  <c r="O945" i="10"/>
  <c r="O946" i="10"/>
  <c r="O947" i="10"/>
  <c r="O948" i="10"/>
  <c r="O949" i="10"/>
  <c r="O951" i="10"/>
  <c r="O953" i="10"/>
  <c r="O954" i="10"/>
  <c r="O957" i="10"/>
  <c r="O958" i="10"/>
  <c r="O959" i="10"/>
  <c r="O961" i="10"/>
  <c r="O962" i="10"/>
  <c r="O963" i="10"/>
  <c r="O965" i="10"/>
  <c r="O964" i="10"/>
  <c r="O966" i="10"/>
  <c r="O967" i="10"/>
  <c r="O968" i="10"/>
  <c r="O969" i="10"/>
  <c r="O970" i="10"/>
  <c r="O971" i="10"/>
  <c r="O972" i="10"/>
  <c r="O973" i="10"/>
  <c r="O974" i="10"/>
  <c r="O975" i="10"/>
  <c r="O976" i="10"/>
  <c r="O977" i="10"/>
  <c r="O978" i="10"/>
  <c r="O981" i="10"/>
  <c r="O980" i="10"/>
  <c r="O982" i="10"/>
  <c r="O983" i="10"/>
  <c r="O984" i="10"/>
  <c r="O985" i="10"/>
  <c r="O988" i="10"/>
  <c r="O992" i="10"/>
  <c r="O991" i="10"/>
  <c r="O993" i="10"/>
  <c r="O990" i="10"/>
  <c r="O994" i="10"/>
  <c r="O995" i="10"/>
  <c r="O996" i="10"/>
  <c r="O997" i="10"/>
  <c r="O999" i="10"/>
  <c r="O1002" i="10"/>
  <c r="O1000" i="10"/>
  <c r="O1004" i="10"/>
  <c r="O1005" i="10"/>
  <c r="O1006" i="10"/>
  <c r="O1007" i="10"/>
  <c r="O1009" i="10"/>
  <c r="O1011" i="10"/>
  <c r="O1010" i="10"/>
  <c r="O1012" i="10"/>
  <c r="O1013" i="10"/>
  <c r="O1014" i="10"/>
  <c r="O1015" i="10"/>
  <c r="O1017" i="10"/>
  <c r="O1016" i="10"/>
  <c r="O1019" i="10"/>
  <c r="O1020" i="10"/>
  <c r="O1021" i="10"/>
  <c r="O1022" i="10"/>
  <c r="O1024" i="10"/>
  <c r="O1023" i="10"/>
  <c r="O1027" i="10"/>
  <c r="O1028" i="10"/>
  <c r="O1029" i="10"/>
  <c r="O1030" i="10"/>
  <c r="O1031" i="10"/>
  <c r="O1032" i="10"/>
  <c r="O1033" i="10"/>
  <c r="O1035" i="10"/>
  <c r="O1036" i="10"/>
  <c r="O1037" i="10"/>
  <c r="O1039" i="10"/>
  <c r="O1042" i="10"/>
  <c r="O1043" i="10"/>
  <c r="O1044" i="10"/>
  <c r="O1048" i="10"/>
  <c r="O1046" i="10"/>
  <c r="O1049" i="10"/>
  <c r="O1045" i="10"/>
  <c r="O1050" i="10"/>
  <c r="O1051" i="10"/>
  <c r="O1053" i="10"/>
  <c r="O1054" i="10"/>
  <c r="O1055" i="10"/>
  <c r="O1056" i="10"/>
  <c r="O1057" i="10"/>
  <c r="O1061" i="10"/>
  <c r="O1060" i="10"/>
  <c r="O1062" i="10"/>
  <c r="O1063" i="10"/>
  <c r="O1065" i="10"/>
  <c r="O1066" i="10"/>
  <c r="O1067" i="10"/>
  <c r="O1068" i="10"/>
  <c r="O1069" i="10"/>
  <c r="O1071" i="10"/>
  <c r="O1070" i="10"/>
  <c r="O1073" i="10"/>
  <c r="O1074" i="10"/>
  <c r="O1072" i="10"/>
  <c r="O1075" i="10"/>
  <c r="O1076" i="10"/>
  <c r="O1077" i="10"/>
  <c r="O1078" i="10"/>
  <c r="O1079" i="10"/>
  <c r="O1081" i="10"/>
  <c r="O1080" i="10"/>
  <c r="O1082" i="10"/>
  <c r="O1083" i="10"/>
  <c r="O1084" i="10"/>
  <c r="O1085" i="10"/>
  <c r="O1086" i="10"/>
  <c r="O1087" i="10"/>
  <c r="O1088" i="10"/>
  <c r="O1092" i="10"/>
  <c r="O1089" i="10"/>
  <c r="O1090" i="10"/>
  <c r="O1093" i="10"/>
  <c r="O1094" i="10"/>
  <c r="O2" i="10"/>
  <c r="C2" i="10"/>
  <c r="W2" i="10"/>
  <c r="X2" i="10"/>
  <c r="Y2" i="10"/>
  <c r="C3" i="10"/>
  <c r="W3" i="10"/>
  <c r="X3" i="10"/>
  <c r="Y3" i="10"/>
  <c r="C4" i="10"/>
  <c r="W4" i="10"/>
  <c r="X4" i="10"/>
  <c r="Y4" i="10"/>
  <c r="C6" i="10"/>
  <c r="C7" i="10"/>
  <c r="W7" i="10"/>
  <c r="X7" i="10"/>
  <c r="Y7" i="10"/>
  <c r="C8" i="10"/>
  <c r="S8" i="10"/>
  <c r="Y8" i="10" s="1"/>
  <c r="V8" i="10"/>
  <c r="C9" i="10"/>
  <c r="W9" i="10"/>
  <c r="X9" i="10"/>
  <c r="Y9" i="10"/>
  <c r="C11" i="10"/>
  <c r="W11" i="10"/>
  <c r="X11" i="10"/>
  <c r="Y11" i="10"/>
  <c r="C12" i="10"/>
  <c r="W12" i="10"/>
  <c r="X12" i="10"/>
  <c r="Y12" i="10"/>
  <c r="C13" i="10"/>
  <c r="W13" i="10"/>
  <c r="X13" i="10"/>
  <c r="Y13" i="10"/>
  <c r="C15" i="10"/>
  <c r="W15" i="10"/>
  <c r="X15" i="10"/>
  <c r="Y15" i="10"/>
  <c r="C16" i="10"/>
  <c r="W16" i="10"/>
  <c r="X16" i="10"/>
  <c r="Y16" i="10"/>
  <c r="C18" i="10"/>
  <c r="W18" i="10"/>
  <c r="X18" i="10"/>
  <c r="Y18" i="10"/>
  <c r="C14" i="10"/>
  <c r="W14" i="10"/>
  <c r="X14" i="10"/>
  <c r="Y14" i="10"/>
  <c r="C17" i="10"/>
  <c r="W17" i="10"/>
  <c r="X17" i="10"/>
  <c r="Y17" i="10"/>
  <c r="C20" i="10"/>
  <c r="W20" i="10"/>
  <c r="X20" i="10"/>
  <c r="Y20" i="10"/>
  <c r="C19" i="10"/>
  <c r="W19" i="10"/>
  <c r="X19" i="10"/>
  <c r="Y19" i="10"/>
  <c r="C21" i="10"/>
  <c r="W21" i="10"/>
  <c r="X21" i="10"/>
  <c r="Y21" i="10"/>
  <c r="C22" i="10"/>
  <c r="W22" i="10"/>
  <c r="X22" i="10"/>
  <c r="Y22" i="10"/>
  <c r="C25" i="10"/>
  <c r="W25" i="10"/>
  <c r="X25" i="10"/>
  <c r="Y25" i="10"/>
  <c r="C23" i="10"/>
  <c r="W23" i="10"/>
  <c r="X23" i="10"/>
  <c r="Y23" i="10"/>
  <c r="C24" i="10"/>
  <c r="W24" i="10"/>
  <c r="X24" i="10"/>
  <c r="Y24" i="10"/>
  <c r="C27" i="10"/>
  <c r="W27" i="10"/>
  <c r="X27" i="10"/>
  <c r="Y27" i="10"/>
  <c r="C28" i="10"/>
  <c r="W28" i="10"/>
  <c r="X28" i="10"/>
  <c r="Y28" i="10"/>
  <c r="C29" i="10"/>
  <c r="W29" i="10"/>
  <c r="X29" i="10"/>
  <c r="Y29" i="10"/>
  <c r="C30" i="10"/>
  <c r="X30" i="10"/>
  <c r="C31" i="10"/>
  <c r="W31" i="10"/>
  <c r="X31" i="10"/>
  <c r="Y31" i="10"/>
  <c r="C33" i="10"/>
  <c r="W33" i="10"/>
  <c r="X33" i="10"/>
  <c r="Y33" i="10"/>
  <c r="C32" i="10"/>
  <c r="W32" i="10"/>
  <c r="X32" i="10"/>
  <c r="Y32" i="10"/>
  <c r="C34" i="10"/>
  <c r="W34" i="10"/>
  <c r="X34" i="10"/>
  <c r="Y34" i="10"/>
  <c r="C36" i="10"/>
  <c r="W36" i="10"/>
  <c r="X36" i="10"/>
  <c r="Y36" i="10"/>
  <c r="C37" i="10"/>
  <c r="W37" i="10"/>
  <c r="X37" i="10"/>
  <c r="Y37" i="10"/>
  <c r="C38" i="10"/>
  <c r="W38" i="10"/>
  <c r="X38" i="10"/>
  <c r="Y38" i="10"/>
  <c r="C39" i="10"/>
  <c r="W39" i="10"/>
  <c r="X39" i="10"/>
  <c r="Y39" i="10"/>
  <c r="C41" i="10"/>
  <c r="W41" i="10"/>
  <c r="X41" i="10"/>
  <c r="Y41" i="10"/>
  <c r="C40" i="10"/>
  <c r="W40" i="10"/>
  <c r="X40" i="10"/>
  <c r="Y40" i="10"/>
  <c r="C42" i="10"/>
  <c r="W42" i="10"/>
  <c r="X42" i="10"/>
  <c r="Y42" i="10"/>
  <c r="C44" i="10"/>
  <c r="W44" i="10"/>
  <c r="X44" i="10"/>
  <c r="Y44" i="10"/>
  <c r="C45" i="10"/>
  <c r="W45" i="10"/>
  <c r="X45" i="10"/>
  <c r="Y45" i="10"/>
  <c r="C46" i="10"/>
  <c r="W46" i="10"/>
  <c r="X46" i="10"/>
  <c r="Y46" i="10"/>
  <c r="C47" i="10"/>
  <c r="W47" i="10"/>
  <c r="X47" i="10"/>
  <c r="Y47" i="10"/>
  <c r="C48" i="10"/>
  <c r="W48" i="10"/>
  <c r="X48" i="10"/>
  <c r="Y48" i="10"/>
  <c r="C49" i="10"/>
  <c r="W49" i="10"/>
  <c r="X49" i="10"/>
  <c r="Y49" i="10"/>
  <c r="C50" i="10"/>
  <c r="W50" i="10"/>
  <c r="X50" i="10"/>
  <c r="Y50" i="10"/>
  <c r="C51" i="10"/>
  <c r="W51" i="10"/>
  <c r="X51" i="10"/>
  <c r="Y51" i="10"/>
  <c r="C52" i="10"/>
  <c r="W52" i="10"/>
  <c r="X52" i="10"/>
  <c r="Y52" i="10"/>
  <c r="C53" i="10"/>
  <c r="C54" i="10"/>
  <c r="W54" i="10"/>
  <c r="X54" i="10"/>
  <c r="Y54" i="10"/>
  <c r="C55" i="10"/>
  <c r="W55" i="10"/>
  <c r="X55" i="10"/>
  <c r="Y55" i="10"/>
  <c r="C56" i="10"/>
  <c r="W56" i="10"/>
  <c r="X56" i="10"/>
  <c r="Y56" i="10"/>
  <c r="C57" i="10"/>
  <c r="W57" i="10"/>
  <c r="X57" i="10"/>
  <c r="Y57" i="10"/>
  <c r="C58" i="10"/>
  <c r="W58" i="10"/>
  <c r="X58" i="10"/>
  <c r="Y58" i="10"/>
  <c r="C59" i="10"/>
  <c r="W59" i="10"/>
  <c r="X59" i="10"/>
  <c r="Y59" i="10"/>
  <c r="C60" i="10"/>
  <c r="W60" i="10"/>
  <c r="X60" i="10"/>
  <c r="Y60" i="10"/>
  <c r="C61" i="10"/>
  <c r="W61" i="10"/>
  <c r="X61" i="10"/>
  <c r="Y61" i="10"/>
  <c r="C62" i="10"/>
  <c r="W62" i="10"/>
  <c r="X62" i="10"/>
  <c r="Y62" i="10"/>
  <c r="C64" i="10"/>
  <c r="W64" i="10"/>
  <c r="X64" i="10"/>
  <c r="Y64" i="10"/>
  <c r="C65" i="10"/>
  <c r="W65" i="10"/>
  <c r="X65" i="10"/>
  <c r="Y65" i="10"/>
  <c r="C66" i="10"/>
  <c r="W66" i="10"/>
  <c r="X66" i="10"/>
  <c r="Y66" i="10"/>
  <c r="C67" i="10"/>
  <c r="W67" i="10"/>
  <c r="X67" i="10"/>
  <c r="Y67" i="10"/>
  <c r="C68" i="10"/>
  <c r="W68" i="10"/>
  <c r="X68" i="10"/>
  <c r="Y68" i="10"/>
  <c r="C69" i="10"/>
  <c r="W69" i="10"/>
  <c r="X69" i="10"/>
  <c r="Y69" i="10"/>
  <c r="C70" i="10"/>
  <c r="W70" i="10"/>
  <c r="X70" i="10"/>
  <c r="Y70" i="10"/>
  <c r="C71" i="10"/>
  <c r="W71" i="10"/>
  <c r="X71" i="10"/>
  <c r="Y71" i="10"/>
  <c r="C72" i="10"/>
  <c r="W72" i="10"/>
  <c r="X72" i="10"/>
  <c r="Y72" i="10"/>
  <c r="C73" i="10"/>
  <c r="W73" i="10"/>
  <c r="X73" i="10"/>
  <c r="Y73" i="10"/>
  <c r="C74" i="10"/>
  <c r="W74" i="10"/>
  <c r="X74" i="10"/>
  <c r="Y74" i="10"/>
  <c r="C76" i="10"/>
  <c r="W76" i="10"/>
  <c r="X76" i="10"/>
  <c r="Y76" i="10"/>
  <c r="C75" i="10"/>
  <c r="W75" i="10"/>
  <c r="X75" i="10"/>
  <c r="Y75" i="10"/>
  <c r="C78" i="10"/>
  <c r="W78" i="10"/>
  <c r="X78" i="10"/>
  <c r="Y78" i="10"/>
  <c r="C80" i="10"/>
  <c r="W80" i="10"/>
  <c r="X80" i="10"/>
  <c r="Y80" i="10"/>
  <c r="C79" i="10"/>
  <c r="W79" i="10"/>
  <c r="X79" i="10"/>
  <c r="Y79" i="10"/>
  <c r="C83" i="10"/>
  <c r="W83" i="10"/>
  <c r="X83" i="10"/>
  <c r="Y83" i="10"/>
  <c r="C82" i="10"/>
  <c r="W82" i="10"/>
  <c r="X82" i="10"/>
  <c r="Y82" i="10"/>
  <c r="C85" i="10"/>
  <c r="W85" i="10"/>
  <c r="X85" i="10"/>
  <c r="Y85" i="10"/>
  <c r="C84" i="10"/>
  <c r="W84" i="10"/>
  <c r="X84" i="10"/>
  <c r="Y84" i="10"/>
  <c r="C87" i="10"/>
  <c r="W87" i="10"/>
  <c r="X87" i="10"/>
  <c r="Y87" i="10"/>
  <c r="C91" i="10"/>
  <c r="W91" i="10"/>
  <c r="X91" i="10"/>
  <c r="Y91" i="10"/>
  <c r="C92" i="10"/>
  <c r="W92" i="10"/>
  <c r="X92" i="10"/>
  <c r="Y92" i="10"/>
  <c r="C93" i="10"/>
  <c r="W93" i="10"/>
  <c r="X93" i="10"/>
  <c r="Y93" i="10"/>
  <c r="C94" i="10"/>
  <c r="W94" i="10"/>
  <c r="X94" i="10"/>
  <c r="Y94" i="10"/>
  <c r="C95" i="10"/>
  <c r="W95" i="10"/>
  <c r="X95" i="10"/>
  <c r="Y95" i="10"/>
  <c r="C96" i="10"/>
  <c r="W96" i="10"/>
  <c r="X96" i="10"/>
  <c r="Y96" i="10"/>
  <c r="C98" i="10"/>
  <c r="W98" i="10"/>
  <c r="X98" i="10"/>
  <c r="Y98" i="10"/>
  <c r="C97" i="10"/>
  <c r="W97" i="10"/>
  <c r="X97" i="10"/>
  <c r="Y97" i="10"/>
  <c r="C99" i="10"/>
  <c r="W99" i="10"/>
  <c r="X99" i="10"/>
  <c r="Y99" i="10"/>
  <c r="C100" i="10"/>
  <c r="W100" i="10"/>
  <c r="X100" i="10"/>
  <c r="Y100" i="10"/>
  <c r="C101" i="10"/>
  <c r="W101" i="10"/>
  <c r="X101" i="10"/>
  <c r="Y101" i="10"/>
  <c r="C102" i="10"/>
  <c r="W102" i="10"/>
  <c r="X102" i="10"/>
  <c r="Y102" i="10"/>
  <c r="C103" i="10"/>
  <c r="W103" i="10"/>
  <c r="X103" i="10"/>
  <c r="Y103" i="10"/>
  <c r="C104" i="10"/>
  <c r="W104" i="10"/>
  <c r="X104" i="10"/>
  <c r="Y104" i="10"/>
  <c r="C105" i="10"/>
  <c r="W105" i="10"/>
  <c r="X105" i="10"/>
  <c r="Y105" i="10"/>
  <c r="C106" i="10"/>
  <c r="W106" i="10"/>
  <c r="X106" i="10"/>
  <c r="Y106" i="10"/>
  <c r="C107" i="10"/>
  <c r="W107" i="10"/>
  <c r="X107" i="10"/>
  <c r="Y107" i="10"/>
  <c r="C108" i="10"/>
  <c r="W108" i="10"/>
  <c r="X108" i="10"/>
  <c r="Y108" i="10"/>
  <c r="C109" i="10"/>
  <c r="W109" i="10"/>
  <c r="X109" i="10"/>
  <c r="Y109" i="10"/>
  <c r="C112" i="10"/>
  <c r="W112" i="10"/>
  <c r="X112" i="10"/>
  <c r="Y112" i="10"/>
  <c r="C113" i="10"/>
  <c r="W113" i="10"/>
  <c r="X113" i="10"/>
  <c r="Y113" i="10"/>
  <c r="C114" i="10"/>
  <c r="W114" i="10"/>
  <c r="X114" i="10"/>
  <c r="Y114" i="10"/>
  <c r="C115" i="10"/>
  <c r="W115" i="10"/>
  <c r="X115" i="10"/>
  <c r="Y115" i="10"/>
  <c r="C116" i="10"/>
  <c r="W116" i="10"/>
  <c r="X116" i="10"/>
  <c r="Y116" i="10"/>
  <c r="C118" i="10"/>
  <c r="W118" i="10"/>
  <c r="X118" i="10"/>
  <c r="Y118" i="10"/>
  <c r="C117" i="10"/>
  <c r="W117" i="10"/>
  <c r="X117" i="10"/>
  <c r="Y117" i="10"/>
  <c r="C123" i="10"/>
  <c r="W123" i="10"/>
  <c r="X123" i="10"/>
  <c r="Y123" i="10"/>
  <c r="C122" i="10"/>
  <c r="W122" i="10"/>
  <c r="X122" i="10"/>
  <c r="Y122" i="10"/>
  <c r="C120" i="10"/>
  <c r="W120" i="10"/>
  <c r="X120" i="10"/>
  <c r="Y120" i="10"/>
  <c r="C121" i="10"/>
  <c r="W121" i="10"/>
  <c r="X121" i="10"/>
  <c r="Y121" i="10"/>
  <c r="C125" i="10"/>
  <c r="W125" i="10"/>
  <c r="X125" i="10"/>
  <c r="Y125" i="10"/>
  <c r="C126" i="10"/>
  <c r="W126" i="10"/>
  <c r="X126" i="10"/>
  <c r="Y126" i="10"/>
  <c r="C129" i="10"/>
  <c r="W129" i="10"/>
  <c r="X129" i="10"/>
  <c r="Y129" i="10"/>
  <c r="C127" i="10"/>
  <c r="W127" i="10"/>
  <c r="X127" i="10"/>
  <c r="Y127" i="10"/>
  <c r="C128" i="10"/>
  <c r="W128" i="10"/>
  <c r="X128" i="10"/>
  <c r="Y128" i="10"/>
  <c r="C130" i="10"/>
  <c r="W130" i="10"/>
  <c r="X130" i="10"/>
  <c r="Y130" i="10"/>
  <c r="C131" i="10"/>
  <c r="W131" i="10"/>
  <c r="X131" i="10"/>
  <c r="Y131" i="10"/>
  <c r="C133" i="10"/>
  <c r="W133" i="10"/>
  <c r="X133" i="10"/>
  <c r="Y133" i="10"/>
  <c r="C134" i="10"/>
  <c r="W134" i="10"/>
  <c r="X134" i="10"/>
  <c r="Y134" i="10"/>
  <c r="C135" i="10"/>
  <c r="W135" i="10"/>
  <c r="X135" i="10"/>
  <c r="Y135" i="10"/>
  <c r="C136" i="10"/>
  <c r="W136" i="10"/>
  <c r="X136" i="10"/>
  <c r="Y136" i="10"/>
  <c r="C137" i="10"/>
  <c r="W137" i="10"/>
  <c r="X137" i="10"/>
  <c r="Y137" i="10"/>
  <c r="C138" i="10"/>
  <c r="W138" i="10"/>
  <c r="X138" i="10"/>
  <c r="Y138" i="10"/>
  <c r="C139" i="10"/>
  <c r="W139" i="10"/>
  <c r="X139" i="10"/>
  <c r="Y139" i="10"/>
  <c r="C140" i="10"/>
  <c r="W140" i="10"/>
  <c r="X140" i="10"/>
  <c r="Y140" i="10"/>
  <c r="C141" i="10"/>
  <c r="W141" i="10"/>
  <c r="X141" i="10"/>
  <c r="Y141" i="10"/>
  <c r="C144" i="10"/>
  <c r="W144" i="10"/>
  <c r="X144" i="10"/>
  <c r="Y144" i="10"/>
  <c r="C145" i="10"/>
  <c r="W145" i="10"/>
  <c r="X145" i="10"/>
  <c r="Y145" i="10"/>
  <c r="C142" i="10"/>
  <c r="W142" i="10"/>
  <c r="X142" i="10"/>
  <c r="Y142" i="10"/>
  <c r="C143" i="10"/>
  <c r="W143" i="10"/>
  <c r="X143" i="10"/>
  <c r="Y143" i="10"/>
  <c r="C147" i="10"/>
  <c r="W147" i="10"/>
  <c r="X147" i="10"/>
  <c r="Y147" i="10"/>
  <c r="C148" i="10"/>
  <c r="W148" i="10"/>
  <c r="X148" i="10"/>
  <c r="Y148" i="10"/>
  <c r="C149" i="10"/>
  <c r="W149" i="10"/>
  <c r="X149" i="10"/>
  <c r="Y149" i="10"/>
  <c r="C150" i="10"/>
  <c r="W150" i="10"/>
  <c r="X150" i="10"/>
  <c r="Y150" i="10"/>
  <c r="C151" i="10"/>
  <c r="C152" i="10"/>
  <c r="W152" i="10"/>
  <c r="X152" i="10"/>
  <c r="Y152" i="10"/>
  <c r="C153" i="10"/>
  <c r="W153" i="10"/>
  <c r="X153" i="10"/>
  <c r="Y153" i="10"/>
  <c r="C154" i="10"/>
  <c r="W154" i="10"/>
  <c r="X154" i="10"/>
  <c r="Y154" i="10"/>
  <c r="C155" i="10"/>
  <c r="W155" i="10"/>
  <c r="X155" i="10"/>
  <c r="Y155" i="10"/>
  <c r="C156" i="10"/>
  <c r="W156" i="10"/>
  <c r="X156" i="10"/>
  <c r="Y156" i="10"/>
  <c r="C157" i="10"/>
  <c r="W157" i="10"/>
  <c r="X157" i="10"/>
  <c r="Y157" i="10"/>
  <c r="C158" i="10"/>
  <c r="W158" i="10"/>
  <c r="X158" i="10"/>
  <c r="Y158" i="10"/>
  <c r="C160" i="10"/>
  <c r="W160" i="10"/>
  <c r="X160" i="10"/>
  <c r="Y160" i="10"/>
  <c r="C161" i="10"/>
  <c r="W161" i="10"/>
  <c r="X161" i="10"/>
  <c r="Y161" i="10"/>
  <c r="C162" i="10"/>
  <c r="W162" i="10"/>
  <c r="X162" i="10"/>
  <c r="Y162" i="10"/>
  <c r="C163" i="10"/>
  <c r="W163" i="10"/>
  <c r="X163" i="10"/>
  <c r="Y163" i="10"/>
  <c r="C166" i="10"/>
  <c r="W166" i="10"/>
  <c r="X166" i="10"/>
  <c r="Y166" i="10"/>
  <c r="C167" i="10"/>
  <c r="W167" i="10"/>
  <c r="X167" i="10"/>
  <c r="Y167" i="10"/>
  <c r="C168" i="10"/>
  <c r="W168" i="10"/>
  <c r="X168" i="10"/>
  <c r="Y168" i="10"/>
  <c r="C169" i="10"/>
  <c r="W169" i="10"/>
  <c r="X169" i="10"/>
  <c r="Y169" i="10"/>
  <c r="C170" i="10"/>
  <c r="W170" i="10"/>
  <c r="X170" i="10"/>
  <c r="Y170" i="10"/>
  <c r="C171" i="10"/>
  <c r="W171" i="10"/>
  <c r="X171" i="10"/>
  <c r="Y171" i="10"/>
  <c r="C172" i="10"/>
  <c r="W172" i="10"/>
  <c r="X172" i="10"/>
  <c r="Y172" i="10"/>
  <c r="C173" i="10"/>
  <c r="W173" i="10"/>
  <c r="X173" i="10"/>
  <c r="Y173" i="10"/>
  <c r="C174" i="10"/>
  <c r="W174" i="10"/>
  <c r="X174" i="10"/>
  <c r="Y174" i="10"/>
  <c r="C175" i="10"/>
  <c r="W175" i="10"/>
  <c r="X175" i="10"/>
  <c r="Y175" i="10"/>
  <c r="C176" i="10"/>
  <c r="W176" i="10"/>
  <c r="X176" i="10"/>
  <c r="Y176" i="10"/>
  <c r="C178" i="10"/>
  <c r="W178" i="10"/>
  <c r="X178" i="10"/>
  <c r="Y178" i="10"/>
  <c r="C177" i="10"/>
  <c r="W177" i="10"/>
  <c r="X177" i="10"/>
  <c r="Y177" i="10"/>
  <c r="C179" i="10"/>
  <c r="W179" i="10"/>
  <c r="X179" i="10"/>
  <c r="Y179" i="10"/>
  <c r="C180" i="10"/>
  <c r="W180" i="10"/>
  <c r="X180" i="10"/>
  <c r="Y180" i="10"/>
  <c r="C184" i="10"/>
  <c r="W184" i="10"/>
  <c r="X184" i="10"/>
  <c r="Y184" i="10"/>
  <c r="C185" i="10"/>
  <c r="W185" i="10"/>
  <c r="X185" i="10"/>
  <c r="Y185" i="10"/>
  <c r="C182" i="10"/>
  <c r="W182" i="10"/>
  <c r="X182" i="10"/>
  <c r="Y182" i="10"/>
  <c r="C183" i="10"/>
  <c r="W183" i="10"/>
  <c r="X183" i="10"/>
  <c r="Y183" i="10"/>
  <c r="C186" i="10"/>
  <c r="W186" i="10"/>
  <c r="X186" i="10"/>
  <c r="Y186" i="10"/>
  <c r="C188" i="10"/>
  <c r="W188" i="10"/>
  <c r="X188" i="10"/>
  <c r="Y188" i="10"/>
  <c r="C189" i="10"/>
  <c r="W189" i="10"/>
  <c r="X189" i="10"/>
  <c r="Y189" i="10"/>
  <c r="C191" i="10"/>
  <c r="W191" i="10"/>
  <c r="X191" i="10"/>
  <c r="Y191" i="10"/>
  <c r="C190" i="10"/>
  <c r="W190" i="10"/>
  <c r="X190" i="10"/>
  <c r="Y190" i="10"/>
  <c r="C192" i="10"/>
  <c r="W192" i="10"/>
  <c r="X192" i="10"/>
  <c r="Y192" i="10"/>
  <c r="C193" i="10"/>
  <c r="W193" i="10"/>
  <c r="X193" i="10"/>
  <c r="Y193" i="10"/>
  <c r="C194" i="10"/>
  <c r="W194" i="10"/>
  <c r="X194" i="10"/>
  <c r="Y194" i="10"/>
  <c r="C195" i="10"/>
  <c r="W195" i="10"/>
  <c r="X195" i="10"/>
  <c r="Y195" i="10"/>
  <c r="C196" i="10"/>
  <c r="W196" i="10"/>
  <c r="X196" i="10"/>
  <c r="Y196" i="10"/>
  <c r="C197" i="10"/>
  <c r="W197" i="10"/>
  <c r="X197" i="10"/>
  <c r="Y197" i="10"/>
  <c r="C198" i="10"/>
  <c r="W198" i="10"/>
  <c r="X198" i="10"/>
  <c r="Y198" i="10"/>
  <c r="C199" i="10"/>
  <c r="W199" i="10"/>
  <c r="X199" i="10"/>
  <c r="Y199" i="10"/>
  <c r="C201" i="10"/>
  <c r="W201" i="10"/>
  <c r="X201" i="10"/>
  <c r="Y201" i="10"/>
  <c r="C200" i="10"/>
  <c r="W200" i="10"/>
  <c r="X200" i="10"/>
  <c r="Y200" i="10"/>
  <c r="C202" i="10"/>
  <c r="W202" i="10"/>
  <c r="X202" i="10"/>
  <c r="Y202" i="10"/>
  <c r="C203" i="10"/>
  <c r="W203" i="10"/>
  <c r="X203" i="10"/>
  <c r="Y203" i="10"/>
  <c r="C204" i="10"/>
  <c r="W204" i="10"/>
  <c r="X204" i="10"/>
  <c r="Y204" i="10"/>
  <c r="C205" i="10"/>
  <c r="W205" i="10"/>
  <c r="X205" i="10"/>
  <c r="Y205" i="10"/>
  <c r="C206" i="10"/>
  <c r="W206" i="10"/>
  <c r="X206" i="10"/>
  <c r="Y206" i="10"/>
  <c r="C207" i="10"/>
  <c r="W207" i="10"/>
  <c r="X207" i="10"/>
  <c r="Y207" i="10"/>
  <c r="C208" i="10"/>
  <c r="W208" i="10"/>
  <c r="X208" i="10"/>
  <c r="Y208" i="10"/>
  <c r="C211" i="10"/>
  <c r="W211" i="10"/>
  <c r="X211" i="10"/>
  <c r="Y211" i="10"/>
  <c r="C212" i="10"/>
  <c r="Y212" i="10"/>
  <c r="C213" i="10"/>
  <c r="W213" i="10"/>
  <c r="X213" i="10"/>
  <c r="Y213" i="10"/>
  <c r="C214" i="10"/>
  <c r="W214" i="10"/>
  <c r="X214" i="10"/>
  <c r="Y214" i="10"/>
  <c r="C215" i="10"/>
  <c r="W215" i="10"/>
  <c r="X215" i="10"/>
  <c r="Y215" i="10"/>
  <c r="C216" i="10"/>
  <c r="W216" i="10"/>
  <c r="X216" i="10"/>
  <c r="Y216" i="10"/>
  <c r="C217" i="10"/>
  <c r="W217" i="10"/>
  <c r="X217" i="10"/>
  <c r="Y217" i="10"/>
  <c r="C218" i="10"/>
  <c r="W218" i="10"/>
  <c r="X218" i="10"/>
  <c r="Y218" i="10"/>
  <c r="C219" i="10"/>
  <c r="W219" i="10"/>
  <c r="X219" i="10"/>
  <c r="Y219" i="10"/>
  <c r="C220" i="10"/>
  <c r="W220" i="10"/>
  <c r="X220" i="10"/>
  <c r="Y220" i="10"/>
  <c r="C222" i="10"/>
  <c r="W222" i="10"/>
  <c r="X222" i="10"/>
  <c r="Y222" i="10"/>
  <c r="C221" i="10"/>
  <c r="W221" i="10"/>
  <c r="X221" i="10"/>
  <c r="Y221" i="10"/>
  <c r="C224" i="10"/>
  <c r="W224" i="10"/>
  <c r="X224" i="10"/>
  <c r="Y224" i="10"/>
  <c r="C225" i="10"/>
  <c r="W225" i="10"/>
  <c r="X225" i="10"/>
  <c r="Y225" i="10"/>
  <c r="C223" i="10"/>
  <c r="W223" i="10"/>
  <c r="X223" i="10"/>
  <c r="Y223" i="10"/>
  <c r="C227" i="10"/>
  <c r="W227" i="10"/>
  <c r="X227" i="10"/>
  <c r="Y227" i="10"/>
  <c r="C228" i="10"/>
  <c r="W228" i="10"/>
  <c r="X228" i="10"/>
  <c r="Y228" i="10"/>
  <c r="C230" i="10"/>
  <c r="W230" i="10"/>
  <c r="X230" i="10"/>
  <c r="Y230" i="10"/>
  <c r="C229" i="10"/>
  <c r="C232" i="10"/>
  <c r="W232" i="10"/>
  <c r="X232" i="10"/>
  <c r="Y232" i="10"/>
  <c r="C233" i="10"/>
  <c r="W233" i="10"/>
  <c r="X233" i="10"/>
  <c r="Y233" i="10"/>
  <c r="C234" i="10"/>
  <c r="W234" i="10"/>
  <c r="X234" i="10"/>
  <c r="Y234" i="10"/>
  <c r="C235" i="10"/>
  <c r="W235" i="10"/>
  <c r="X235" i="10"/>
  <c r="Y235" i="10"/>
  <c r="C237" i="10"/>
  <c r="W237" i="10"/>
  <c r="X237" i="10"/>
  <c r="Y237" i="10"/>
  <c r="C236" i="10"/>
  <c r="W236" i="10"/>
  <c r="X236" i="10"/>
  <c r="Y236" i="10"/>
  <c r="C238" i="10"/>
  <c r="W238" i="10"/>
  <c r="X238" i="10"/>
  <c r="Y238" i="10"/>
  <c r="C239" i="10"/>
  <c r="W239" i="10"/>
  <c r="X239" i="10"/>
  <c r="Y239" i="10"/>
  <c r="C240" i="10"/>
  <c r="W240" i="10"/>
  <c r="X240" i="10"/>
  <c r="Y240" i="10"/>
  <c r="C241" i="10"/>
  <c r="W241" i="10"/>
  <c r="X241" i="10"/>
  <c r="Y241" i="10"/>
  <c r="C242" i="10"/>
  <c r="W242" i="10"/>
  <c r="X242" i="10"/>
  <c r="Y242" i="10"/>
  <c r="C243" i="10"/>
  <c r="W243" i="10"/>
  <c r="X243" i="10"/>
  <c r="Y243" i="10"/>
  <c r="C244" i="10"/>
  <c r="W244" i="10"/>
  <c r="X244" i="10"/>
  <c r="Y244" i="10"/>
  <c r="C245" i="10"/>
  <c r="W245" i="10"/>
  <c r="X245" i="10"/>
  <c r="Y245" i="10"/>
  <c r="C246" i="10"/>
  <c r="C248" i="10"/>
  <c r="W248" i="10"/>
  <c r="X248" i="10"/>
  <c r="Y248" i="10"/>
  <c r="C249" i="10"/>
  <c r="W249" i="10"/>
  <c r="X249" i="10"/>
  <c r="Y249" i="10"/>
  <c r="C250" i="10"/>
  <c r="W250" i="10"/>
  <c r="X250" i="10"/>
  <c r="Y250" i="10"/>
  <c r="C251" i="10"/>
  <c r="W251" i="10"/>
  <c r="X251" i="10"/>
  <c r="Y251" i="10"/>
  <c r="C254" i="10"/>
  <c r="W254" i="10"/>
  <c r="X254" i="10"/>
  <c r="Y254" i="10"/>
  <c r="C252" i="10"/>
  <c r="W252" i="10"/>
  <c r="X252" i="10"/>
  <c r="Y252" i="10"/>
  <c r="C253" i="10"/>
  <c r="W253" i="10"/>
  <c r="X253" i="10"/>
  <c r="Y253" i="10"/>
  <c r="C255" i="10"/>
  <c r="W255" i="10"/>
  <c r="X255" i="10"/>
  <c r="Y255" i="10"/>
  <c r="C257" i="10"/>
  <c r="W257" i="10"/>
  <c r="X257" i="10"/>
  <c r="Y257" i="10"/>
  <c r="C258" i="10"/>
  <c r="W258" i="10"/>
  <c r="X258" i="10"/>
  <c r="Y258" i="10"/>
  <c r="C259" i="10"/>
  <c r="W259" i="10"/>
  <c r="X259" i="10"/>
  <c r="Y259" i="10"/>
  <c r="C260" i="10"/>
  <c r="W260" i="10"/>
  <c r="X260" i="10"/>
  <c r="Y260" i="10"/>
  <c r="C261" i="10"/>
  <c r="W261" i="10"/>
  <c r="X261" i="10"/>
  <c r="Y261" i="10"/>
  <c r="C262" i="10"/>
  <c r="W262" i="10"/>
  <c r="X262" i="10"/>
  <c r="Y262" i="10"/>
  <c r="C263" i="10"/>
  <c r="W263" i="10"/>
  <c r="X263" i="10"/>
  <c r="Y263" i="10"/>
  <c r="C264" i="10"/>
  <c r="C265" i="10"/>
  <c r="W265" i="10"/>
  <c r="X265" i="10"/>
  <c r="Y265" i="10"/>
  <c r="C266" i="10"/>
  <c r="W266" i="10"/>
  <c r="X266" i="10"/>
  <c r="Y266" i="10"/>
  <c r="C267" i="10"/>
  <c r="O267" i="10"/>
  <c r="C268" i="10"/>
  <c r="W268" i="10"/>
  <c r="X268" i="10"/>
  <c r="Y268" i="10"/>
  <c r="C269" i="10"/>
  <c r="W269" i="10"/>
  <c r="X269" i="10"/>
  <c r="Y269" i="10"/>
  <c r="C270" i="10"/>
  <c r="W270" i="10"/>
  <c r="X270" i="10"/>
  <c r="Y270" i="10"/>
  <c r="C271" i="10"/>
  <c r="W271" i="10"/>
  <c r="X271" i="10"/>
  <c r="Y271" i="10"/>
  <c r="C272" i="10"/>
  <c r="W272" i="10"/>
  <c r="X272" i="10"/>
  <c r="Y272" i="10"/>
  <c r="C273" i="10"/>
  <c r="W273" i="10"/>
  <c r="X273" i="10"/>
  <c r="Y273" i="10"/>
  <c r="C276" i="10"/>
  <c r="W276" i="10"/>
  <c r="X276" i="10"/>
  <c r="Y276" i="10"/>
  <c r="C277" i="10"/>
  <c r="W277" i="10"/>
  <c r="X277" i="10"/>
  <c r="Y277" i="10"/>
  <c r="C275" i="10"/>
  <c r="W275" i="10"/>
  <c r="X275" i="10"/>
  <c r="Y275" i="10"/>
  <c r="C279" i="10"/>
  <c r="W279" i="10"/>
  <c r="X279" i="10"/>
  <c r="Y279" i="10"/>
  <c r="C280" i="10"/>
  <c r="W280" i="10"/>
  <c r="X280" i="10"/>
  <c r="Y280" i="10"/>
  <c r="C281" i="10"/>
  <c r="W281" i="10"/>
  <c r="X281" i="10"/>
  <c r="Y281" i="10"/>
  <c r="C282" i="10"/>
  <c r="W282" i="10"/>
  <c r="X282" i="10"/>
  <c r="Y282" i="10"/>
  <c r="C283" i="10"/>
  <c r="W283" i="10"/>
  <c r="X283" i="10"/>
  <c r="Y283" i="10"/>
  <c r="C284" i="10"/>
  <c r="W284" i="10"/>
  <c r="X284" i="10"/>
  <c r="Y284" i="10"/>
  <c r="C285" i="10"/>
  <c r="W285" i="10"/>
  <c r="X285" i="10"/>
  <c r="Y285" i="10"/>
  <c r="C287" i="10"/>
  <c r="W287" i="10"/>
  <c r="X287" i="10"/>
  <c r="Y287" i="10"/>
  <c r="C288" i="10"/>
  <c r="W288" i="10"/>
  <c r="X288" i="10"/>
  <c r="Y288" i="10"/>
  <c r="C289" i="10"/>
  <c r="W289" i="10"/>
  <c r="X289" i="10"/>
  <c r="Y289" i="10"/>
  <c r="C291" i="10"/>
  <c r="W291" i="10"/>
  <c r="X291" i="10"/>
  <c r="Y291" i="10"/>
  <c r="C290" i="10"/>
  <c r="W290" i="10"/>
  <c r="X290" i="10"/>
  <c r="Y290" i="10"/>
  <c r="C292" i="10"/>
  <c r="W292" i="10"/>
  <c r="X292" i="10"/>
  <c r="Y292" i="10"/>
  <c r="C293" i="10"/>
  <c r="W293" i="10"/>
  <c r="X293" i="10"/>
  <c r="Y293" i="10"/>
  <c r="C294" i="10"/>
  <c r="W294" i="10"/>
  <c r="X294" i="10"/>
  <c r="Y294" i="10"/>
  <c r="C295" i="10"/>
  <c r="W295" i="10"/>
  <c r="X295" i="10"/>
  <c r="Y295" i="10"/>
  <c r="C296" i="10"/>
  <c r="W296" i="10"/>
  <c r="X296" i="10"/>
  <c r="Y296" i="10"/>
  <c r="C297" i="10"/>
  <c r="W297" i="10"/>
  <c r="X297" i="10"/>
  <c r="Y297" i="10"/>
  <c r="C298" i="10"/>
  <c r="W298" i="10"/>
  <c r="X298" i="10"/>
  <c r="Y298" i="10"/>
  <c r="C299" i="10"/>
  <c r="W299" i="10"/>
  <c r="X299" i="10"/>
  <c r="Y299" i="10"/>
  <c r="C300" i="10"/>
  <c r="W300" i="10"/>
  <c r="X300" i="10"/>
  <c r="Y300" i="10"/>
  <c r="C303" i="10"/>
  <c r="C304" i="10"/>
  <c r="W304" i="10"/>
  <c r="X304" i="10"/>
  <c r="Y304" i="10"/>
  <c r="C309" i="10"/>
  <c r="W309" i="10"/>
  <c r="X309" i="10"/>
  <c r="Y309" i="10"/>
  <c r="C315" i="10"/>
  <c r="W315" i="10"/>
  <c r="X315" i="10"/>
  <c r="Y315" i="10"/>
  <c r="C310" i="10"/>
  <c r="W310" i="10"/>
  <c r="X310" i="10"/>
  <c r="Y310" i="10"/>
  <c r="C305" i="10"/>
  <c r="W305" i="10"/>
  <c r="X305" i="10"/>
  <c r="Y305" i="10"/>
  <c r="C308" i="10"/>
  <c r="W308" i="10"/>
  <c r="X308" i="10"/>
  <c r="Y308" i="10"/>
  <c r="C306" i="10"/>
  <c r="W306" i="10"/>
  <c r="X306" i="10"/>
  <c r="Y306" i="10"/>
  <c r="C314" i="10"/>
  <c r="W314" i="10"/>
  <c r="X314" i="10"/>
  <c r="Y314" i="10"/>
  <c r="C313" i="10"/>
  <c r="W313" i="10"/>
  <c r="X313" i="10"/>
  <c r="Y313" i="10"/>
  <c r="C316" i="10"/>
  <c r="W316" i="10"/>
  <c r="X316" i="10"/>
  <c r="Y316" i="10"/>
  <c r="C317" i="10"/>
  <c r="W317" i="10"/>
  <c r="X317" i="10"/>
  <c r="Y317" i="10"/>
  <c r="C319" i="10"/>
  <c r="W319" i="10"/>
  <c r="X319" i="10"/>
  <c r="Y319" i="10"/>
  <c r="C318" i="10"/>
  <c r="W318" i="10"/>
  <c r="X318" i="10"/>
  <c r="Y318" i="10"/>
  <c r="C321" i="10"/>
  <c r="W321" i="10"/>
  <c r="X321" i="10"/>
  <c r="Y321" i="10"/>
  <c r="C322" i="10"/>
  <c r="W322" i="10"/>
  <c r="X322" i="10"/>
  <c r="Y322" i="10"/>
  <c r="C320" i="10"/>
  <c r="Y320" i="10"/>
  <c r="C324" i="10"/>
  <c r="W324" i="10"/>
  <c r="X324" i="10"/>
  <c r="Y324" i="10"/>
  <c r="C325" i="10"/>
  <c r="W325" i="10"/>
  <c r="X325" i="10"/>
  <c r="Y325" i="10"/>
  <c r="C327" i="10"/>
  <c r="W327" i="10"/>
  <c r="X327" i="10"/>
  <c r="Y327" i="10"/>
  <c r="C326" i="10"/>
  <c r="W326" i="10"/>
  <c r="X326" i="10"/>
  <c r="Y326" i="10"/>
  <c r="C329" i="10"/>
  <c r="W329" i="10"/>
  <c r="X329" i="10"/>
  <c r="Y329" i="10"/>
  <c r="C328" i="10"/>
  <c r="W328" i="10"/>
  <c r="X328" i="10"/>
  <c r="Y328" i="10"/>
  <c r="C330" i="10"/>
  <c r="W330" i="10"/>
  <c r="X330" i="10"/>
  <c r="Y330" i="10"/>
  <c r="C331" i="10"/>
  <c r="W331" i="10"/>
  <c r="X331" i="10"/>
  <c r="Y331" i="10"/>
  <c r="C332" i="10"/>
  <c r="W332" i="10"/>
  <c r="X332" i="10"/>
  <c r="Y332" i="10"/>
  <c r="C333" i="10"/>
  <c r="W333" i="10"/>
  <c r="X333" i="10"/>
  <c r="Y333" i="10"/>
  <c r="C334" i="10"/>
  <c r="W334" i="10"/>
  <c r="X334" i="10"/>
  <c r="Y334" i="10"/>
  <c r="C335" i="10"/>
  <c r="W335" i="10"/>
  <c r="X335" i="10"/>
  <c r="Y335" i="10"/>
  <c r="C336" i="10"/>
  <c r="W336" i="10"/>
  <c r="X336" i="10"/>
  <c r="Y336" i="10"/>
  <c r="C337" i="10"/>
  <c r="W337" i="10"/>
  <c r="X337" i="10"/>
  <c r="Y337" i="10"/>
  <c r="C338" i="10"/>
  <c r="W338" i="10"/>
  <c r="X338" i="10"/>
  <c r="Y338" i="10"/>
  <c r="C339" i="10"/>
  <c r="W339" i="10"/>
  <c r="X339" i="10"/>
  <c r="Y339" i="10"/>
  <c r="C340" i="10"/>
  <c r="W340" i="10"/>
  <c r="X340" i="10"/>
  <c r="Y340" i="10"/>
  <c r="C341" i="10"/>
  <c r="W341" i="10"/>
  <c r="X341" i="10"/>
  <c r="Y341" i="10"/>
  <c r="C342" i="10"/>
  <c r="W342" i="10"/>
  <c r="X342" i="10"/>
  <c r="Y342" i="10"/>
  <c r="C343" i="10"/>
  <c r="W343" i="10"/>
  <c r="X343" i="10"/>
  <c r="Y343" i="10"/>
  <c r="C344" i="10"/>
  <c r="W344" i="10"/>
  <c r="X344" i="10"/>
  <c r="Y344" i="10"/>
  <c r="C345" i="10"/>
  <c r="W345" i="10"/>
  <c r="X345" i="10"/>
  <c r="Y345" i="10"/>
  <c r="C346" i="10"/>
  <c r="W346" i="10"/>
  <c r="X346" i="10"/>
  <c r="Y346" i="10"/>
  <c r="C347" i="10"/>
  <c r="W347" i="10"/>
  <c r="X347" i="10"/>
  <c r="Y347" i="10"/>
  <c r="C349" i="10"/>
  <c r="W349" i="10"/>
  <c r="X349" i="10"/>
  <c r="Y349" i="10"/>
  <c r="C350" i="10"/>
  <c r="W350" i="10"/>
  <c r="X350" i="10"/>
  <c r="Y350" i="10"/>
  <c r="C353" i="10"/>
  <c r="W353" i="10"/>
  <c r="X353" i="10"/>
  <c r="Y353" i="10"/>
  <c r="C352" i="10"/>
  <c r="W352" i="10"/>
  <c r="X352" i="10"/>
  <c r="Y352" i="10"/>
  <c r="C354" i="10"/>
  <c r="W354" i="10"/>
  <c r="X354" i="10"/>
  <c r="Y354" i="10"/>
  <c r="C355" i="10"/>
  <c r="W355" i="10"/>
  <c r="X355" i="10"/>
  <c r="Y355" i="10"/>
  <c r="C357" i="10"/>
  <c r="W357" i="10"/>
  <c r="X357" i="10"/>
  <c r="Y357" i="10"/>
  <c r="C356" i="10"/>
  <c r="W356" i="10"/>
  <c r="X356" i="10"/>
  <c r="Y356" i="10"/>
  <c r="C358" i="10"/>
  <c r="W358" i="10"/>
  <c r="X358" i="10"/>
  <c r="Y358" i="10"/>
  <c r="C359" i="10"/>
  <c r="W359" i="10"/>
  <c r="X359" i="10"/>
  <c r="Y359" i="10"/>
  <c r="C360" i="10"/>
  <c r="W360" i="10"/>
  <c r="X360" i="10"/>
  <c r="Y360" i="10"/>
  <c r="C361" i="10"/>
  <c r="W361" i="10"/>
  <c r="X361" i="10"/>
  <c r="Y361" i="10"/>
  <c r="C362" i="10"/>
  <c r="W362" i="10"/>
  <c r="X362" i="10"/>
  <c r="Y362" i="10"/>
  <c r="C363" i="10"/>
  <c r="O363" i="10"/>
  <c r="C364" i="10"/>
  <c r="W364" i="10"/>
  <c r="X364" i="10"/>
  <c r="Y364" i="10"/>
  <c r="C365" i="10"/>
  <c r="W365" i="10"/>
  <c r="X365" i="10"/>
  <c r="Y365" i="10"/>
  <c r="C367" i="10"/>
  <c r="W367" i="10"/>
  <c r="X367" i="10"/>
  <c r="Y367" i="10"/>
  <c r="C366" i="10"/>
  <c r="W366" i="10"/>
  <c r="X366" i="10"/>
  <c r="Y366" i="10"/>
  <c r="C369" i="10"/>
  <c r="W369" i="10"/>
  <c r="X369" i="10"/>
  <c r="Y369" i="10"/>
  <c r="C370" i="10"/>
  <c r="W370" i="10"/>
  <c r="X370" i="10"/>
  <c r="Y370" i="10"/>
  <c r="C368" i="10"/>
  <c r="W368" i="10"/>
  <c r="X368" i="10"/>
  <c r="Y368" i="10"/>
  <c r="C371" i="10"/>
  <c r="W371" i="10"/>
  <c r="X371" i="10"/>
  <c r="Y371" i="10"/>
  <c r="C372" i="10"/>
  <c r="W372" i="10"/>
  <c r="X372" i="10"/>
  <c r="Y372" i="10"/>
  <c r="C373" i="10"/>
  <c r="W373" i="10"/>
  <c r="X373" i="10"/>
  <c r="Y373" i="10"/>
  <c r="C374" i="10"/>
  <c r="W374" i="10"/>
  <c r="X374" i="10"/>
  <c r="Y374" i="10"/>
  <c r="C375" i="10"/>
  <c r="W375" i="10"/>
  <c r="X375" i="10"/>
  <c r="Y375" i="10"/>
  <c r="C376" i="10"/>
  <c r="W376" i="10"/>
  <c r="X376" i="10"/>
  <c r="Y376" i="10"/>
  <c r="C377" i="10"/>
  <c r="W377" i="10"/>
  <c r="X377" i="10"/>
  <c r="Y377" i="10"/>
  <c r="C378" i="10"/>
  <c r="W378" i="10"/>
  <c r="X378" i="10"/>
  <c r="Y378" i="10"/>
  <c r="C379" i="10"/>
  <c r="W379" i="10"/>
  <c r="X379" i="10"/>
  <c r="Y379" i="10"/>
  <c r="C380" i="10"/>
  <c r="W380" i="10"/>
  <c r="X380" i="10"/>
  <c r="Y380" i="10"/>
  <c r="C381" i="10"/>
  <c r="W381" i="10"/>
  <c r="X381" i="10"/>
  <c r="Y381" i="10"/>
  <c r="C383" i="10"/>
  <c r="W383" i="10"/>
  <c r="X383" i="10"/>
  <c r="Y383" i="10"/>
  <c r="C382" i="10"/>
  <c r="W382" i="10"/>
  <c r="X382" i="10"/>
  <c r="Y382" i="10"/>
  <c r="C384" i="10"/>
  <c r="W384" i="10"/>
  <c r="X384" i="10"/>
  <c r="Y384" i="10"/>
  <c r="C386" i="10"/>
  <c r="W386" i="10"/>
  <c r="X386" i="10"/>
  <c r="Y386" i="10"/>
  <c r="C387" i="10"/>
  <c r="W387" i="10"/>
  <c r="X387" i="10"/>
  <c r="Y387" i="10"/>
  <c r="C388" i="10"/>
  <c r="W388" i="10"/>
  <c r="X388" i="10"/>
  <c r="Y388" i="10"/>
  <c r="C389" i="10"/>
  <c r="W389" i="10"/>
  <c r="X389" i="10"/>
  <c r="Y389" i="10"/>
  <c r="C390" i="10"/>
  <c r="W390" i="10"/>
  <c r="X390" i="10"/>
  <c r="Y390" i="10"/>
  <c r="C391" i="10"/>
  <c r="W391" i="10"/>
  <c r="X391" i="10"/>
  <c r="Y391" i="10"/>
  <c r="C392" i="10"/>
  <c r="C393" i="10"/>
  <c r="W393" i="10"/>
  <c r="X393" i="10"/>
  <c r="Y393" i="10"/>
  <c r="C394" i="10"/>
  <c r="W394" i="10"/>
  <c r="X394" i="10"/>
  <c r="Y394" i="10"/>
  <c r="C395" i="10"/>
  <c r="W395" i="10"/>
  <c r="X395" i="10"/>
  <c r="Y395" i="10"/>
  <c r="C396" i="10"/>
  <c r="W396" i="10"/>
  <c r="X396" i="10"/>
  <c r="Y396" i="10"/>
  <c r="C397" i="10"/>
  <c r="C398" i="10"/>
  <c r="W398" i="10"/>
  <c r="X398" i="10"/>
  <c r="Y398" i="10"/>
  <c r="C399" i="10"/>
  <c r="W399" i="10"/>
  <c r="X399" i="10"/>
  <c r="Y399" i="10"/>
  <c r="C400" i="10"/>
  <c r="W400" i="10"/>
  <c r="X400" i="10"/>
  <c r="Y400" i="10"/>
  <c r="C401" i="10"/>
  <c r="W401" i="10"/>
  <c r="X401" i="10"/>
  <c r="Y401" i="10"/>
  <c r="C402" i="10"/>
  <c r="W402" i="10"/>
  <c r="X402" i="10"/>
  <c r="Y402" i="10"/>
  <c r="C403" i="10"/>
  <c r="W403" i="10"/>
  <c r="X403" i="10"/>
  <c r="Y403" i="10"/>
  <c r="C404" i="10"/>
  <c r="W404" i="10"/>
  <c r="X404" i="10"/>
  <c r="Y404" i="10"/>
  <c r="C405" i="10"/>
  <c r="W405" i="10"/>
  <c r="X405" i="10"/>
  <c r="Y405" i="10"/>
  <c r="C406" i="10"/>
  <c r="W406" i="10"/>
  <c r="X406" i="10"/>
  <c r="Y406" i="10"/>
  <c r="C407" i="10"/>
  <c r="W407" i="10"/>
  <c r="X407" i="10"/>
  <c r="Y407" i="10"/>
  <c r="C408" i="10"/>
  <c r="W408" i="10"/>
  <c r="X408" i="10"/>
  <c r="Y408" i="10"/>
  <c r="C410" i="10"/>
  <c r="W410" i="10"/>
  <c r="X410" i="10"/>
  <c r="Y410" i="10"/>
  <c r="C412" i="10"/>
  <c r="W412" i="10"/>
  <c r="X412" i="10"/>
  <c r="Y412" i="10"/>
  <c r="C411" i="10"/>
  <c r="W411" i="10"/>
  <c r="X411" i="10"/>
  <c r="Y411" i="10"/>
  <c r="C409" i="10"/>
  <c r="W409" i="10"/>
  <c r="X409" i="10"/>
  <c r="Y409" i="10"/>
  <c r="C413" i="10"/>
  <c r="W413" i="10"/>
  <c r="X413" i="10"/>
  <c r="Y413" i="10"/>
  <c r="C416" i="10"/>
  <c r="W416" i="10"/>
  <c r="X416" i="10"/>
  <c r="Y416" i="10"/>
  <c r="C415" i="10"/>
  <c r="W415" i="10"/>
  <c r="X415" i="10"/>
  <c r="Y415" i="10"/>
  <c r="C417" i="10"/>
  <c r="W417" i="10"/>
  <c r="X417" i="10"/>
  <c r="Y417" i="10"/>
  <c r="C418" i="10"/>
  <c r="W418" i="10"/>
  <c r="X418" i="10"/>
  <c r="Y418" i="10"/>
  <c r="C419" i="10"/>
  <c r="W419" i="10"/>
  <c r="X419" i="10"/>
  <c r="Y419" i="10"/>
  <c r="C420" i="10"/>
  <c r="W420" i="10"/>
  <c r="X420" i="10"/>
  <c r="Y420" i="10"/>
  <c r="C421" i="10"/>
  <c r="W421" i="10"/>
  <c r="X421" i="10"/>
  <c r="Y421" i="10"/>
  <c r="C423" i="10"/>
  <c r="O423" i="10"/>
  <c r="W423" i="10"/>
  <c r="X423" i="10"/>
  <c r="Y423" i="10"/>
  <c r="C424" i="10"/>
  <c r="W424" i="10"/>
  <c r="X424" i="10"/>
  <c r="Y424" i="10"/>
  <c r="C425" i="10"/>
  <c r="W425" i="10"/>
  <c r="X425" i="10"/>
  <c r="Y425" i="10"/>
  <c r="C426" i="10"/>
  <c r="W426" i="10"/>
  <c r="X426" i="10"/>
  <c r="Y426" i="10"/>
  <c r="C427" i="10"/>
  <c r="W427" i="10"/>
  <c r="X427" i="10"/>
  <c r="Y427" i="10"/>
  <c r="C428" i="10"/>
  <c r="Y428" i="10"/>
  <c r="C429" i="10"/>
  <c r="W429" i="10"/>
  <c r="X429" i="10"/>
  <c r="Y429" i="10"/>
  <c r="C1038" i="10"/>
  <c r="C433" i="10"/>
  <c r="W433" i="10"/>
  <c r="X433" i="10"/>
  <c r="Y433" i="10"/>
  <c r="C435" i="10"/>
  <c r="W435" i="10"/>
  <c r="X435" i="10"/>
  <c r="Y435" i="10"/>
  <c r="C434" i="10"/>
  <c r="W434" i="10"/>
  <c r="X434" i="10"/>
  <c r="Y434" i="10"/>
  <c r="C436" i="10"/>
  <c r="W436" i="10"/>
  <c r="X436" i="10"/>
  <c r="Y436" i="10"/>
  <c r="C437" i="10"/>
  <c r="W437" i="10"/>
  <c r="X437" i="10"/>
  <c r="Y437" i="10"/>
  <c r="C438" i="10"/>
  <c r="W438" i="10"/>
  <c r="X438" i="10"/>
  <c r="Y438" i="10"/>
  <c r="C439" i="10"/>
  <c r="W439" i="10"/>
  <c r="X439" i="10"/>
  <c r="Y439" i="10"/>
  <c r="C440" i="10"/>
  <c r="W440" i="10"/>
  <c r="X440" i="10"/>
  <c r="Y440" i="10"/>
  <c r="C441" i="10"/>
  <c r="W441" i="10"/>
  <c r="X441" i="10"/>
  <c r="Y441" i="10"/>
  <c r="C442" i="10"/>
  <c r="W442" i="10"/>
  <c r="X442" i="10"/>
  <c r="Y442" i="10"/>
  <c r="C443" i="10"/>
  <c r="W443" i="10"/>
  <c r="X443" i="10"/>
  <c r="Y443" i="10"/>
  <c r="C444" i="10"/>
  <c r="W444" i="10"/>
  <c r="X444" i="10"/>
  <c r="Y444" i="10"/>
  <c r="C445" i="10"/>
  <c r="W445" i="10"/>
  <c r="X445" i="10"/>
  <c r="Y445" i="10"/>
  <c r="C446" i="10"/>
  <c r="W446" i="10"/>
  <c r="X446" i="10"/>
  <c r="Y446" i="10"/>
  <c r="C447" i="10"/>
  <c r="C448" i="10"/>
  <c r="W448" i="10"/>
  <c r="X448" i="10"/>
  <c r="Y448" i="10"/>
  <c r="C449" i="10"/>
  <c r="W449" i="10"/>
  <c r="X449" i="10"/>
  <c r="Y449" i="10"/>
  <c r="C450" i="10"/>
  <c r="W450" i="10"/>
  <c r="X450" i="10"/>
  <c r="Y450" i="10"/>
  <c r="C451" i="10"/>
  <c r="W451" i="10"/>
  <c r="X451" i="10"/>
  <c r="Y451" i="10"/>
  <c r="C454" i="10"/>
  <c r="W454" i="10"/>
  <c r="X454" i="10"/>
  <c r="Y454" i="10"/>
  <c r="C453" i="10"/>
  <c r="W453" i="10"/>
  <c r="X453" i="10"/>
  <c r="Y453" i="10"/>
  <c r="C455" i="10"/>
  <c r="W455" i="10"/>
  <c r="X455" i="10"/>
  <c r="Y455" i="10"/>
  <c r="C456" i="10"/>
  <c r="W456" i="10"/>
  <c r="X456" i="10"/>
  <c r="Y456" i="10"/>
  <c r="C457" i="10"/>
  <c r="W457" i="10"/>
  <c r="X457" i="10"/>
  <c r="Y457" i="10"/>
  <c r="C459" i="10"/>
  <c r="W459" i="10"/>
  <c r="X459" i="10"/>
  <c r="Y459" i="10"/>
  <c r="C460" i="10"/>
  <c r="W460" i="10"/>
  <c r="X460" i="10"/>
  <c r="Y460" i="10"/>
  <c r="C463" i="10"/>
  <c r="W463" i="10"/>
  <c r="X463" i="10"/>
  <c r="Y463" i="10"/>
  <c r="C464" i="10"/>
  <c r="W464" i="10"/>
  <c r="X464" i="10"/>
  <c r="Y464" i="10"/>
  <c r="C465" i="10"/>
  <c r="W465" i="10"/>
  <c r="X465" i="10"/>
  <c r="Y465" i="10"/>
  <c r="C466" i="10"/>
  <c r="W466" i="10"/>
  <c r="X466" i="10"/>
  <c r="Y466" i="10"/>
  <c r="C467" i="10"/>
  <c r="W467" i="10"/>
  <c r="X467" i="10"/>
  <c r="Y467" i="10"/>
  <c r="C469" i="10"/>
  <c r="W469" i="10"/>
  <c r="X469" i="10"/>
  <c r="Y469" i="10"/>
  <c r="C470" i="10"/>
  <c r="W470" i="10"/>
  <c r="X470" i="10"/>
  <c r="Y470" i="10"/>
  <c r="C471" i="10"/>
  <c r="W471" i="10"/>
  <c r="X471" i="10"/>
  <c r="Y471" i="10"/>
  <c r="C474" i="10"/>
  <c r="W474" i="10"/>
  <c r="X474" i="10"/>
  <c r="Y474" i="10"/>
  <c r="C473" i="10"/>
  <c r="W473" i="10"/>
  <c r="X473" i="10"/>
  <c r="Y473" i="10"/>
  <c r="C472" i="10"/>
  <c r="W472" i="10"/>
  <c r="X472" i="10"/>
  <c r="Y472" i="10"/>
  <c r="C475" i="10"/>
  <c r="W475" i="10"/>
  <c r="X475" i="10"/>
  <c r="Y475" i="10"/>
  <c r="C477" i="10"/>
  <c r="W477" i="10"/>
  <c r="X477" i="10"/>
  <c r="Y477" i="10"/>
  <c r="C478" i="10"/>
  <c r="C480" i="10"/>
  <c r="W480" i="10"/>
  <c r="X480" i="10"/>
  <c r="Y480" i="10"/>
  <c r="C481" i="10"/>
  <c r="C482" i="10"/>
  <c r="W482" i="10"/>
  <c r="X482" i="10"/>
  <c r="Y482" i="10"/>
  <c r="C483" i="10"/>
  <c r="W483" i="10"/>
  <c r="X483" i="10"/>
  <c r="Y483" i="10"/>
  <c r="C484" i="10"/>
  <c r="W484" i="10"/>
  <c r="X484" i="10"/>
  <c r="Y484" i="10"/>
  <c r="C485" i="10"/>
  <c r="W485" i="10"/>
  <c r="X485" i="10"/>
  <c r="Y485" i="10"/>
  <c r="C487" i="10"/>
  <c r="W487" i="10"/>
  <c r="X487" i="10"/>
  <c r="Y487" i="10"/>
  <c r="C488" i="10"/>
  <c r="C490" i="10"/>
  <c r="W490" i="10"/>
  <c r="X490" i="10"/>
  <c r="Y490" i="10"/>
  <c r="C489" i="10"/>
  <c r="W489" i="10"/>
  <c r="X489" i="10"/>
  <c r="Y489" i="10"/>
  <c r="C491" i="10"/>
  <c r="C493" i="10"/>
  <c r="W493" i="10"/>
  <c r="Y493" i="10"/>
  <c r="C492" i="10"/>
  <c r="C496" i="10"/>
  <c r="W496" i="10"/>
  <c r="X496" i="10"/>
  <c r="Y496" i="10"/>
  <c r="C494" i="10"/>
  <c r="W494" i="10"/>
  <c r="X494" i="10"/>
  <c r="Y494" i="10"/>
  <c r="C497" i="10"/>
  <c r="W497" i="10"/>
  <c r="X497" i="10"/>
  <c r="Y497" i="10"/>
  <c r="C500" i="10"/>
  <c r="W500" i="10"/>
  <c r="X500" i="10"/>
  <c r="Y500" i="10"/>
  <c r="C499" i="10"/>
  <c r="W499" i="10"/>
  <c r="X499" i="10"/>
  <c r="Y499" i="10"/>
  <c r="C498" i="10"/>
  <c r="W498" i="10"/>
  <c r="X498" i="10"/>
  <c r="Y498" i="10"/>
  <c r="C502" i="10"/>
  <c r="W502" i="10"/>
  <c r="X502" i="10"/>
  <c r="Y502" i="10"/>
  <c r="C503" i="10"/>
  <c r="W503" i="10"/>
  <c r="X503" i="10"/>
  <c r="Y503" i="10"/>
  <c r="C504" i="10"/>
  <c r="W504" i="10"/>
  <c r="X504" i="10"/>
  <c r="Y504" i="10"/>
  <c r="C507" i="10"/>
  <c r="X507" i="10"/>
  <c r="C508" i="10"/>
  <c r="W508" i="10"/>
  <c r="X508" i="10"/>
  <c r="Y508" i="10"/>
  <c r="C511" i="10"/>
  <c r="W511" i="10"/>
  <c r="X511" i="10"/>
  <c r="Y511" i="10"/>
  <c r="C512" i="10"/>
  <c r="W512" i="10"/>
  <c r="X512" i="10"/>
  <c r="Y512" i="10"/>
  <c r="C513" i="10"/>
  <c r="W513" i="10"/>
  <c r="X513" i="10"/>
  <c r="Y513" i="10"/>
  <c r="C514" i="10"/>
  <c r="C515" i="10"/>
  <c r="W515" i="10"/>
  <c r="X515" i="10"/>
  <c r="Y515" i="10"/>
  <c r="C516" i="10"/>
  <c r="W516" i="10"/>
  <c r="X516" i="10"/>
  <c r="Y516" i="10"/>
  <c r="C517" i="10"/>
  <c r="W517" i="10"/>
  <c r="X517" i="10"/>
  <c r="Y517" i="10"/>
  <c r="C518" i="10"/>
  <c r="W518" i="10"/>
  <c r="X518" i="10"/>
  <c r="Y518" i="10"/>
  <c r="C519" i="10"/>
  <c r="W519" i="10"/>
  <c r="X519" i="10"/>
  <c r="Y519" i="10"/>
  <c r="C520" i="10"/>
  <c r="W520" i="10"/>
  <c r="X520" i="10"/>
  <c r="Y520" i="10"/>
  <c r="C521" i="10"/>
  <c r="W521" i="10"/>
  <c r="X521" i="10"/>
  <c r="Y521" i="10"/>
  <c r="C523" i="10"/>
  <c r="W523" i="10"/>
  <c r="X523" i="10"/>
  <c r="Y523" i="10"/>
  <c r="C524" i="10"/>
  <c r="W524" i="10"/>
  <c r="X524" i="10"/>
  <c r="Y524" i="10"/>
  <c r="C522" i="10"/>
  <c r="W522" i="10"/>
  <c r="X522" i="10"/>
  <c r="Y522" i="10"/>
  <c r="C526" i="10"/>
  <c r="W526" i="10"/>
  <c r="X526" i="10"/>
  <c r="Y526" i="10"/>
  <c r="C527" i="10"/>
  <c r="W527" i="10"/>
  <c r="X527" i="10"/>
  <c r="Y527" i="10"/>
  <c r="C529" i="10"/>
  <c r="W529" i="10"/>
  <c r="X529" i="10"/>
  <c r="Y529" i="10"/>
  <c r="C530" i="10"/>
  <c r="W530" i="10"/>
  <c r="X530" i="10"/>
  <c r="Y530" i="10"/>
  <c r="C533" i="10"/>
  <c r="W533" i="10"/>
  <c r="X533" i="10"/>
  <c r="Y533" i="10"/>
  <c r="C534" i="10"/>
  <c r="W534" i="10"/>
  <c r="X534" i="10"/>
  <c r="Y534" i="10"/>
  <c r="C536" i="10"/>
  <c r="W536" i="10"/>
  <c r="X536" i="10"/>
  <c r="Y536" i="10"/>
  <c r="C537" i="10"/>
  <c r="W537" i="10"/>
  <c r="X537" i="10"/>
  <c r="Y537" i="10"/>
  <c r="C538" i="10"/>
  <c r="W538" i="10"/>
  <c r="X538" i="10"/>
  <c r="Y538" i="10"/>
  <c r="C539" i="10"/>
  <c r="W539" i="10"/>
  <c r="X539" i="10"/>
  <c r="Y539" i="10"/>
  <c r="C543" i="10"/>
  <c r="W543" i="10"/>
  <c r="X543" i="10"/>
  <c r="Y543" i="10"/>
  <c r="C546" i="10"/>
  <c r="O546" i="10"/>
  <c r="C547" i="10"/>
  <c r="W547" i="10"/>
  <c r="X547" i="10"/>
  <c r="Y547" i="10"/>
  <c r="C548" i="10"/>
  <c r="W548" i="10"/>
  <c r="X548" i="10"/>
  <c r="Y548" i="10"/>
  <c r="C550" i="10"/>
  <c r="W550" i="10"/>
  <c r="X550" i="10"/>
  <c r="Y550" i="10"/>
  <c r="C549" i="10"/>
  <c r="W549" i="10"/>
  <c r="X549" i="10"/>
  <c r="Y549" i="10"/>
  <c r="C551" i="10"/>
  <c r="W551" i="10"/>
  <c r="X551" i="10"/>
  <c r="Y551" i="10"/>
  <c r="C552" i="10"/>
  <c r="W552" i="10"/>
  <c r="X552" i="10"/>
  <c r="Y552" i="10"/>
  <c r="C554" i="10"/>
  <c r="W554" i="10"/>
  <c r="X554" i="10"/>
  <c r="Y554" i="10"/>
  <c r="C556" i="10"/>
  <c r="W556" i="10"/>
  <c r="X556" i="10"/>
  <c r="Y556" i="10"/>
  <c r="C555" i="10"/>
  <c r="W555" i="10"/>
  <c r="X555" i="10"/>
  <c r="Y555" i="10"/>
  <c r="C557" i="10"/>
  <c r="W557" i="10"/>
  <c r="X557" i="10"/>
  <c r="Y557" i="10"/>
  <c r="C558" i="10"/>
  <c r="W558" i="10"/>
  <c r="X558" i="10"/>
  <c r="Y558" i="10"/>
  <c r="C560" i="10"/>
  <c r="W560" i="10"/>
  <c r="X560" i="10"/>
  <c r="Y560" i="10"/>
  <c r="C561" i="10"/>
  <c r="W561" i="10"/>
  <c r="X561" i="10"/>
  <c r="Y561" i="10"/>
  <c r="C559" i="10"/>
  <c r="W559" i="10"/>
  <c r="X559" i="10"/>
  <c r="Y559" i="10"/>
  <c r="C563" i="10"/>
  <c r="W563" i="10"/>
  <c r="X563" i="10"/>
  <c r="Y563" i="10"/>
  <c r="C562" i="10"/>
  <c r="W562" i="10"/>
  <c r="X562" i="10"/>
  <c r="Y562" i="10"/>
  <c r="C564" i="10"/>
  <c r="W564" i="10"/>
  <c r="X564" i="10"/>
  <c r="Y564" i="10"/>
  <c r="C566" i="10"/>
  <c r="W566" i="10"/>
  <c r="X566" i="10"/>
  <c r="Y566" i="10"/>
  <c r="C568" i="10"/>
  <c r="W568" i="10"/>
  <c r="X568" i="10"/>
  <c r="Y568" i="10"/>
  <c r="C569" i="10"/>
  <c r="W569" i="10"/>
  <c r="X569" i="10"/>
  <c r="Y569" i="10"/>
  <c r="C570" i="10"/>
  <c r="W570" i="10"/>
  <c r="X570" i="10"/>
  <c r="Y570" i="10"/>
  <c r="C571" i="10"/>
  <c r="W571" i="10"/>
  <c r="X571" i="10"/>
  <c r="Y571" i="10"/>
  <c r="C572" i="10"/>
  <c r="W572" i="10"/>
  <c r="X572" i="10"/>
  <c r="Y572" i="10"/>
  <c r="C573" i="10"/>
  <c r="W573" i="10"/>
  <c r="X573" i="10"/>
  <c r="Y573" i="10"/>
  <c r="C574" i="10"/>
  <c r="W574" i="10"/>
  <c r="X574" i="10"/>
  <c r="Y574" i="10"/>
  <c r="C576" i="10"/>
  <c r="W576" i="10"/>
  <c r="X576" i="10"/>
  <c r="Y576" i="10"/>
  <c r="C575" i="10"/>
  <c r="W575" i="10"/>
  <c r="X575" i="10"/>
  <c r="Y575" i="10"/>
  <c r="C577" i="10"/>
  <c r="W577" i="10"/>
  <c r="X577" i="10"/>
  <c r="Y577" i="10"/>
  <c r="C578" i="10"/>
  <c r="W578" i="10"/>
  <c r="X578" i="10"/>
  <c r="Y578" i="10"/>
  <c r="C579" i="10"/>
  <c r="W579" i="10"/>
  <c r="X579" i="10"/>
  <c r="Y579" i="10"/>
  <c r="C580" i="10"/>
  <c r="W580" i="10"/>
  <c r="X580" i="10"/>
  <c r="Y580" i="10"/>
  <c r="C581" i="10"/>
  <c r="W581" i="10"/>
  <c r="X581" i="10"/>
  <c r="Y581" i="10"/>
  <c r="C583" i="10"/>
  <c r="W583" i="10"/>
  <c r="X583" i="10"/>
  <c r="Y583" i="10"/>
  <c r="C585" i="10"/>
  <c r="W585" i="10"/>
  <c r="X585" i="10"/>
  <c r="Y585" i="10"/>
  <c r="C588" i="10"/>
  <c r="W588" i="10"/>
  <c r="X588" i="10"/>
  <c r="Y588" i="10"/>
  <c r="C587" i="10"/>
  <c r="W587" i="10"/>
  <c r="X587" i="10"/>
  <c r="Y587" i="10"/>
  <c r="C589" i="10"/>
  <c r="W589" i="10"/>
  <c r="X589" i="10"/>
  <c r="Y589" i="10"/>
  <c r="C590" i="10"/>
  <c r="W590" i="10"/>
  <c r="X590" i="10"/>
  <c r="Y590" i="10"/>
  <c r="C592" i="10"/>
  <c r="W592" i="10"/>
  <c r="X592" i="10"/>
  <c r="Y592" i="10"/>
  <c r="C591" i="10"/>
  <c r="W591" i="10"/>
  <c r="X591" i="10"/>
  <c r="Y591" i="10"/>
  <c r="C593" i="10"/>
  <c r="W593" i="10"/>
  <c r="X593" i="10"/>
  <c r="Y593" i="10"/>
  <c r="C594" i="10"/>
  <c r="W594" i="10"/>
  <c r="X594" i="10"/>
  <c r="Y594" i="10"/>
  <c r="C595" i="10"/>
  <c r="W595" i="10"/>
  <c r="X595" i="10"/>
  <c r="Y595" i="10"/>
  <c r="C596" i="10"/>
  <c r="W596" i="10"/>
  <c r="X596" i="10"/>
  <c r="Y596" i="10"/>
  <c r="C597" i="10"/>
  <c r="W597" i="10"/>
  <c r="X597" i="10"/>
  <c r="Y597" i="10"/>
  <c r="C600" i="10"/>
  <c r="W600" i="10"/>
  <c r="X600" i="10"/>
  <c r="Y600" i="10"/>
  <c r="C599" i="10"/>
  <c r="W599" i="10"/>
  <c r="X599" i="10"/>
  <c r="Y599" i="10"/>
  <c r="C598" i="10"/>
  <c r="W598" i="10"/>
  <c r="X598" i="10"/>
  <c r="Y598" i="10"/>
  <c r="C601" i="10"/>
  <c r="W601" i="10"/>
  <c r="X601" i="10"/>
  <c r="Y601" i="10"/>
  <c r="C602" i="10"/>
  <c r="W602" i="10"/>
  <c r="X602" i="10"/>
  <c r="Y602" i="10"/>
  <c r="C603" i="10"/>
  <c r="C604" i="10"/>
  <c r="W604" i="10"/>
  <c r="X604" i="10"/>
  <c r="Y604" i="10"/>
  <c r="C605" i="10"/>
  <c r="W605" i="10"/>
  <c r="X605" i="10"/>
  <c r="Y605" i="10"/>
  <c r="C607" i="10"/>
  <c r="W607" i="10"/>
  <c r="X607" i="10"/>
  <c r="Y607" i="10"/>
  <c r="C610" i="10"/>
  <c r="W610" i="10"/>
  <c r="X610" i="10"/>
  <c r="Y610" i="10"/>
  <c r="C612" i="10"/>
  <c r="W612" i="10"/>
  <c r="X612" i="10"/>
  <c r="Y612" i="10"/>
  <c r="C614" i="10"/>
  <c r="W614" i="10"/>
  <c r="X614" i="10"/>
  <c r="Y614" i="10"/>
  <c r="C615" i="10"/>
  <c r="W615" i="10"/>
  <c r="X615" i="10"/>
  <c r="Y615" i="10"/>
  <c r="C616" i="10"/>
  <c r="W616" i="10"/>
  <c r="X616" i="10"/>
  <c r="Y616" i="10"/>
  <c r="C617" i="10"/>
  <c r="W617" i="10"/>
  <c r="X617" i="10"/>
  <c r="Y617" i="10"/>
  <c r="C618" i="10"/>
  <c r="W618" i="10"/>
  <c r="X618" i="10"/>
  <c r="Y618" i="10"/>
  <c r="C619" i="10"/>
  <c r="W619" i="10"/>
  <c r="X619" i="10"/>
  <c r="Y619" i="10"/>
  <c r="C622" i="10"/>
  <c r="W622" i="10"/>
  <c r="X622" i="10"/>
  <c r="Y622" i="10"/>
  <c r="C626" i="10"/>
  <c r="W626" i="10"/>
  <c r="X626" i="10"/>
  <c r="Y626" i="10"/>
  <c r="C625" i="10"/>
  <c r="W625" i="10"/>
  <c r="X625" i="10"/>
  <c r="Y625" i="10"/>
  <c r="C631" i="10"/>
  <c r="W631" i="10"/>
  <c r="X631" i="10"/>
  <c r="Y631" i="10"/>
  <c r="C630" i="10"/>
  <c r="W630" i="10"/>
  <c r="X630" i="10"/>
  <c r="Y630" i="10"/>
  <c r="C629" i="10"/>
  <c r="W629" i="10"/>
  <c r="X629" i="10"/>
  <c r="Y629" i="10"/>
  <c r="C632" i="10"/>
  <c r="W632" i="10"/>
  <c r="X632" i="10"/>
  <c r="Y632" i="10"/>
  <c r="C633" i="10"/>
  <c r="W633" i="10"/>
  <c r="X633" i="10"/>
  <c r="Y633" i="10"/>
  <c r="C635" i="10"/>
  <c r="W635" i="10"/>
  <c r="X635" i="10"/>
  <c r="Y635" i="10"/>
  <c r="C636" i="10"/>
  <c r="W636" i="10"/>
  <c r="X636" i="10"/>
  <c r="Y636" i="10"/>
  <c r="C637" i="10"/>
  <c r="W637" i="10"/>
  <c r="X637" i="10"/>
  <c r="Y637" i="10"/>
  <c r="C638" i="10"/>
  <c r="W638" i="10"/>
  <c r="X638" i="10"/>
  <c r="Y638" i="10"/>
  <c r="C639" i="10"/>
  <c r="W639" i="10"/>
  <c r="X639" i="10"/>
  <c r="Y639" i="10"/>
  <c r="C640" i="10"/>
  <c r="W640" i="10"/>
  <c r="X640" i="10"/>
  <c r="Y640" i="10"/>
  <c r="C641" i="10"/>
  <c r="W641" i="10"/>
  <c r="X641" i="10"/>
  <c r="Y641" i="10"/>
  <c r="C643" i="10"/>
  <c r="W643" i="10"/>
  <c r="X643" i="10"/>
  <c r="Y643" i="10"/>
  <c r="C644" i="10"/>
  <c r="Y644" i="10"/>
  <c r="C645" i="10"/>
  <c r="W645" i="10"/>
  <c r="X645" i="10"/>
  <c r="Y645" i="10"/>
  <c r="C642" i="10"/>
  <c r="W642" i="10"/>
  <c r="X642" i="10"/>
  <c r="Y642" i="10"/>
  <c r="C647" i="10"/>
  <c r="W647" i="10"/>
  <c r="X647" i="10"/>
  <c r="Y647" i="10"/>
  <c r="C646" i="10"/>
  <c r="W646" i="10"/>
  <c r="X646" i="10"/>
  <c r="Y646" i="10"/>
  <c r="C649" i="10"/>
  <c r="W649" i="10"/>
  <c r="X649" i="10"/>
  <c r="Y649" i="10"/>
  <c r="C648" i="10"/>
  <c r="W648" i="10"/>
  <c r="X648" i="10"/>
  <c r="Y648" i="10"/>
  <c r="C650" i="10"/>
  <c r="W650" i="10"/>
  <c r="X650" i="10"/>
  <c r="Y650" i="10"/>
  <c r="C652" i="10"/>
  <c r="W652" i="10"/>
  <c r="X652" i="10"/>
  <c r="Y652" i="10"/>
  <c r="C654" i="10"/>
  <c r="W654" i="10"/>
  <c r="X654" i="10"/>
  <c r="Y654" i="10"/>
  <c r="C655" i="10"/>
  <c r="W655" i="10"/>
  <c r="X655" i="10"/>
  <c r="Y655" i="10"/>
  <c r="C653" i="10"/>
  <c r="W653" i="10"/>
  <c r="X653" i="10"/>
  <c r="Y653" i="10"/>
  <c r="C656" i="10"/>
  <c r="W656" i="10"/>
  <c r="X656" i="10"/>
  <c r="Y656" i="10"/>
  <c r="C657" i="10"/>
  <c r="W657" i="10"/>
  <c r="X657" i="10"/>
  <c r="Y657" i="10"/>
  <c r="C659" i="10"/>
  <c r="W659" i="10"/>
  <c r="X659" i="10"/>
  <c r="Y659" i="10"/>
  <c r="C660" i="10"/>
  <c r="W660" i="10"/>
  <c r="X660" i="10"/>
  <c r="Y660" i="10"/>
  <c r="C661" i="10"/>
  <c r="W661" i="10"/>
  <c r="X661" i="10"/>
  <c r="Y661" i="10"/>
  <c r="C662" i="10"/>
  <c r="W662" i="10"/>
  <c r="X662" i="10"/>
  <c r="Y662" i="10"/>
  <c r="C664" i="10"/>
  <c r="W664" i="10"/>
  <c r="X664" i="10"/>
  <c r="Y664" i="10"/>
  <c r="C665" i="10"/>
  <c r="W665" i="10"/>
  <c r="X665" i="10"/>
  <c r="Y665" i="10"/>
  <c r="C666" i="10"/>
  <c r="W666" i="10"/>
  <c r="X666" i="10"/>
  <c r="Y666" i="10"/>
  <c r="C667" i="10"/>
  <c r="W667" i="10"/>
  <c r="X667" i="10"/>
  <c r="Y667" i="10"/>
  <c r="C668" i="10"/>
  <c r="W668" i="10"/>
  <c r="X668" i="10"/>
  <c r="Y668" i="10"/>
  <c r="C670" i="10"/>
  <c r="W670" i="10"/>
  <c r="X670" i="10"/>
  <c r="Y670" i="10"/>
  <c r="C669" i="10"/>
  <c r="W669" i="10"/>
  <c r="X669" i="10"/>
  <c r="Y669" i="10"/>
  <c r="C671" i="10"/>
  <c r="W671" i="10"/>
  <c r="X671" i="10"/>
  <c r="Y671" i="10"/>
  <c r="C672" i="10"/>
  <c r="W672" i="10"/>
  <c r="X672" i="10"/>
  <c r="Y672" i="10"/>
  <c r="C673" i="10"/>
  <c r="W673" i="10"/>
  <c r="X673" i="10"/>
  <c r="Y673" i="10"/>
  <c r="C674" i="10"/>
  <c r="W674" i="10"/>
  <c r="X674" i="10"/>
  <c r="Y674" i="10"/>
  <c r="C675" i="10"/>
  <c r="W675" i="10"/>
  <c r="X675" i="10"/>
  <c r="Y675" i="10"/>
  <c r="C676" i="10"/>
  <c r="W676" i="10"/>
  <c r="X676" i="10"/>
  <c r="Y676" i="10"/>
  <c r="C677" i="10"/>
  <c r="W677" i="10"/>
  <c r="X677" i="10"/>
  <c r="Y677" i="10"/>
  <c r="C678" i="10"/>
  <c r="W678" i="10"/>
  <c r="X678" i="10"/>
  <c r="Y678" i="10"/>
  <c r="C679" i="10"/>
  <c r="W679" i="10"/>
  <c r="X679" i="10"/>
  <c r="Y679" i="10"/>
  <c r="C680" i="10"/>
  <c r="W680" i="10"/>
  <c r="X680" i="10"/>
  <c r="Y680" i="10"/>
  <c r="C681" i="10"/>
  <c r="W681" i="10"/>
  <c r="X681" i="10"/>
  <c r="Y681" i="10"/>
  <c r="C683" i="10"/>
  <c r="W683" i="10"/>
  <c r="X683" i="10"/>
  <c r="Y683" i="10"/>
  <c r="C684" i="10"/>
  <c r="W684" i="10"/>
  <c r="X684" i="10"/>
  <c r="Y684" i="10"/>
  <c r="C688" i="10"/>
  <c r="W688" i="10"/>
  <c r="X688" i="10"/>
  <c r="Y688" i="10"/>
  <c r="C685" i="10"/>
  <c r="C687" i="10"/>
  <c r="C686" i="10"/>
  <c r="O686" i="10"/>
  <c r="W686" i="10"/>
  <c r="Y686" i="10"/>
  <c r="C689" i="10"/>
  <c r="W689" i="10"/>
  <c r="X689" i="10"/>
  <c r="Y689" i="10"/>
  <c r="C690" i="10"/>
  <c r="W690" i="10"/>
  <c r="X690" i="10"/>
  <c r="Y690" i="10"/>
  <c r="C692" i="10"/>
  <c r="W692" i="10"/>
  <c r="X692" i="10"/>
  <c r="Y692" i="10"/>
  <c r="C691" i="10"/>
  <c r="W691" i="10"/>
  <c r="X691" i="10"/>
  <c r="Y691" i="10"/>
  <c r="C693" i="10"/>
  <c r="W693" i="10"/>
  <c r="X693" i="10"/>
  <c r="Y693" i="10"/>
  <c r="C694" i="10"/>
  <c r="W694" i="10"/>
  <c r="X694" i="10"/>
  <c r="Y694" i="10"/>
  <c r="C698" i="10"/>
  <c r="W698" i="10"/>
  <c r="X698" i="10"/>
  <c r="Y698" i="10"/>
  <c r="C699" i="10"/>
  <c r="W699" i="10"/>
  <c r="X699" i="10"/>
  <c r="Y699" i="10"/>
  <c r="C700" i="10"/>
  <c r="W700" i="10"/>
  <c r="X700" i="10"/>
  <c r="Y700" i="10"/>
  <c r="C701" i="10"/>
  <c r="W701" i="10"/>
  <c r="X701" i="10"/>
  <c r="Y701" i="10"/>
  <c r="C702" i="10"/>
  <c r="W702" i="10"/>
  <c r="X702" i="10"/>
  <c r="Y702" i="10"/>
  <c r="C703" i="10"/>
  <c r="W703" i="10"/>
  <c r="C704" i="10"/>
  <c r="W704" i="10"/>
  <c r="X704" i="10"/>
  <c r="Y704" i="10"/>
  <c r="C705" i="10"/>
  <c r="W705" i="10"/>
  <c r="X705" i="10"/>
  <c r="Y705" i="10"/>
  <c r="C706" i="10"/>
  <c r="W706" i="10"/>
  <c r="X706" i="10"/>
  <c r="Y706" i="10"/>
  <c r="C707" i="10"/>
  <c r="C708" i="10"/>
  <c r="W708" i="10"/>
  <c r="X708" i="10"/>
  <c r="Y708" i="10"/>
  <c r="C709" i="10"/>
  <c r="W709" i="10"/>
  <c r="X709" i="10"/>
  <c r="Y709" i="10"/>
  <c r="C711" i="10"/>
  <c r="W711" i="10"/>
  <c r="X711" i="10"/>
  <c r="Y711" i="10"/>
  <c r="C712" i="10"/>
  <c r="W712" i="10"/>
  <c r="X712" i="10"/>
  <c r="Y712" i="10"/>
  <c r="C710" i="10"/>
  <c r="W710" i="10"/>
  <c r="X710" i="10"/>
  <c r="Y710" i="10"/>
  <c r="C714" i="10"/>
  <c r="W714" i="10"/>
  <c r="X714" i="10"/>
  <c r="Y714" i="10"/>
  <c r="C713" i="10"/>
  <c r="W713" i="10"/>
  <c r="X713" i="10"/>
  <c r="Y713" i="10"/>
  <c r="C715" i="10"/>
  <c r="W715" i="10"/>
  <c r="X715" i="10"/>
  <c r="Y715" i="10"/>
  <c r="C716" i="10"/>
  <c r="W716" i="10"/>
  <c r="X716" i="10"/>
  <c r="Y716" i="10"/>
  <c r="C717" i="10"/>
  <c r="W717" i="10"/>
  <c r="X717" i="10"/>
  <c r="Y717" i="10"/>
  <c r="C718" i="10"/>
  <c r="W718" i="10"/>
  <c r="X718" i="10"/>
  <c r="Y718" i="10"/>
  <c r="C719" i="10"/>
  <c r="W719" i="10"/>
  <c r="X719" i="10"/>
  <c r="Y719" i="10"/>
  <c r="C720" i="10"/>
  <c r="W720" i="10"/>
  <c r="X720" i="10"/>
  <c r="Y720" i="10"/>
  <c r="C721" i="10"/>
  <c r="W721" i="10"/>
  <c r="X721" i="10"/>
  <c r="Y721" i="10"/>
  <c r="C722" i="10"/>
  <c r="W722" i="10"/>
  <c r="X722" i="10"/>
  <c r="Y722" i="10"/>
  <c r="C724" i="10"/>
  <c r="W724" i="10"/>
  <c r="X724" i="10"/>
  <c r="Y724" i="10"/>
  <c r="C723" i="10"/>
  <c r="W723" i="10"/>
  <c r="X723" i="10"/>
  <c r="Y723" i="10"/>
  <c r="C725" i="10"/>
  <c r="W725" i="10"/>
  <c r="X725" i="10"/>
  <c r="Y725" i="10"/>
  <c r="C726" i="10"/>
  <c r="W726" i="10"/>
  <c r="X726" i="10"/>
  <c r="Y726" i="10"/>
  <c r="C727" i="10"/>
  <c r="W727" i="10"/>
  <c r="X727" i="10"/>
  <c r="Y727" i="10"/>
  <c r="C728" i="10"/>
  <c r="W728" i="10"/>
  <c r="X728" i="10"/>
  <c r="Y728" i="10"/>
  <c r="C729" i="10"/>
  <c r="W729" i="10"/>
  <c r="X729" i="10"/>
  <c r="Y729" i="10"/>
  <c r="C730" i="10"/>
  <c r="W730" i="10"/>
  <c r="X730" i="10"/>
  <c r="Y730" i="10"/>
  <c r="C732" i="10"/>
  <c r="W732" i="10"/>
  <c r="X732" i="10"/>
  <c r="Y732" i="10"/>
  <c r="C731" i="10"/>
  <c r="W731" i="10"/>
  <c r="X731" i="10"/>
  <c r="Y731" i="10"/>
  <c r="C733" i="10"/>
  <c r="W733" i="10"/>
  <c r="X733" i="10"/>
  <c r="Y733" i="10"/>
  <c r="C734" i="10"/>
  <c r="W734" i="10"/>
  <c r="X734" i="10"/>
  <c r="Y734" i="10"/>
  <c r="C735" i="10"/>
  <c r="W735" i="10"/>
  <c r="X735" i="10"/>
  <c r="Y735" i="10"/>
  <c r="C736" i="10"/>
  <c r="W736" i="10"/>
  <c r="X736" i="10"/>
  <c r="Y736" i="10"/>
  <c r="C737" i="10"/>
  <c r="W737" i="10"/>
  <c r="X737" i="10"/>
  <c r="Y737" i="10"/>
  <c r="C738" i="10"/>
  <c r="W738" i="10"/>
  <c r="X738" i="10"/>
  <c r="Y738" i="10"/>
  <c r="C739" i="10"/>
  <c r="W739" i="10"/>
  <c r="X739" i="10"/>
  <c r="Y739" i="10"/>
  <c r="C740" i="10"/>
  <c r="W740" i="10"/>
  <c r="X740" i="10"/>
  <c r="Y740" i="10"/>
  <c r="C741" i="10"/>
  <c r="W741" i="10"/>
  <c r="X741" i="10"/>
  <c r="Y741" i="10"/>
  <c r="C742" i="10"/>
  <c r="W742" i="10"/>
  <c r="X742" i="10"/>
  <c r="Y742" i="10"/>
  <c r="C743" i="10"/>
  <c r="W743" i="10"/>
  <c r="X743" i="10"/>
  <c r="Y743" i="10"/>
  <c r="C744" i="10"/>
  <c r="W744" i="10"/>
  <c r="X744" i="10"/>
  <c r="Y744" i="10"/>
  <c r="C747" i="10"/>
  <c r="W747" i="10"/>
  <c r="X747" i="10"/>
  <c r="Y747" i="10"/>
  <c r="C748" i="10"/>
  <c r="W748" i="10"/>
  <c r="X748" i="10"/>
  <c r="Y748" i="10"/>
  <c r="C750" i="10"/>
  <c r="W750" i="10"/>
  <c r="X750" i="10"/>
  <c r="Y750" i="10"/>
  <c r="C751" i="10"/>
  <c r="C752" i="10"/>
  <c r="W752" i="10"/>
  <c r="X752" i="10"/>
  <c r="Y752" i="10"/>
  <c r="C753" i="10"/>
  <c r="W753" i="10"/>
  <c r="X753" i="10"/>
  <c r="Y753" i="10"/>
  <c r="C755" i="10"/>
  <c r="W755" i="10"/>
  <c r="X755" i="10"/>
  <c r="Y755" i="10"/>
  <c r="C754" i="10"/>
  <c r="W754" i="10"/>
  <c r="X754" i="10"/>
  <c r="Y754" i="10"/>
  <c r="C756" i="10"/>
  <c r="W756" i="10"/>
  <c r="X756" i="10"/>
  <c r="Y756" i="10"/>
  <c r="C759" i="10"/>
  <c r="W759" i="10"/>
  <c r="X759" i="10"/>
  <c r="Y759" i="10"/>
  <c r="C760" i="10"/>
  <c r="W760" i="10"/>
  <c r="X760" i="10"/>
  <c r="Y760" i="10"/>
  <c r="C758" i="10"/>
  <c r="W758" i="10"/>
  <c r="X758" i="10"/>
  <c r="Y758" i="10"/>
  <c r="C762" i="10"/>
  <c r="W762" i="10"/>
  <c r="X762" i="10"/>
  <c r="Y762" i="10"/>
  <c r="C761" i="10"/>
  <c r="W761" i="10"/>
  <c r="X761" i="10"/>
  <c r="Y761" i="10"/>
  <c r="C763" i="10"/>
  <c r="W763" i="10"/>
  <c r="X763" i="10"/>
  <c r="Y763" i="10"/>
  <c r="C765" i="10"/>
  <c r="W765" i="10"/>
  <c r="X765" i="10"/>
  <c r="Y765" i="10"/>
  <c r="C764" i="10"/>
  <c r="W764" i="10"/>
  <c r="X764" i="10"/>
  <c r="Y764" i="10"/>
  <c r="C767" i="10"/>
  <c r="W767" i="10"/>
  <c r="X767" i="10"/>
  <c r="Y767" i="10"/>
  <c r="C768" i="10"/>
  <c r="W768" i="10"/>
  <c r="X768" i="10"/>
  <c r="Y768" i="10"/>
  <c r="C769" i="10"/>
  <c r="W769" i="10"/>
  <c r="X769" i="10"/>
  <c r="Y769" i="10"/>
  <c r="C770" i="10"/>
  <c r="W770" i="10"/>
  <c r="X770" i="10"/>
  <c r="Y770" i="10"/>
  <c r="C771" i="10"/>
  <c r="W771" i="10"/>
  <c r="X771" i="10"/>
  <c r="Y771" i="10"/>
  <c r="C766" i="10"/>
  <c r="W766" i="10"/>
  <c r="X766" i="10"/>
  <c r="Y766" i="10"/>
  <c r="C774" i="10"/>
  <c r="W774" i="10"/>
  <c r="X774" i="10"/>
  <c r="Y774" i="10"/>
  <c r="C784" i="10"/>
  <c r="W784" i="10"/>
  <c r="X784" i="10"/>
  <c r="Y784" i="10"/>
  <c r="C787" i="10"/>
  <c r="W787" i="10"/>
  <c r="X787" i="10"/>
  <c r="Y787" i="10"/>
  <c r="C772" i="10"/>
  <c r="W772" i="10"/>
  <c r="X772" i="10"/>
  <c r="Y772" i="10"/>
  <c r="C789" i="10"/>
  <c r="W789" i="10"/>
  <c r="X789" i="10"/>
  <c r="Y789" i="10"/>
  <c r="C785" i="10"/>
  <c r="W785" i="10"/>
  <c r="X785" i="10"/>
  <c r="Y785" i="10"/>
  <c r="C775" i="10"/>
  <c r="W775" i="10"/>
  <c r="X775" i="10"/>
  <c r="Y775" i="10"/>
  <c r="C781" i="10"/>
  <c r="W781" i="10"/>
  <c r="X781" i="10"/>
  <c r="Y781" i="10"/>
  <c r="C790" i="10"/>
  <c r="Y790" i="10"/>
  <c r="C786" i="10"/>
  <c r="W786" i="10"/>
  <c r="X786" i="10"/>
  <c r="Y786" i="10"/>
  <c r="C778" i="10"/>
  <c r="W778" i="10"/>
  <c r="X778" i="10"/>
  <c r="Y778" i="10"/>
  <c r="C776" i="10"/>
  <c r="W776" i="10"/>
  <c r="X776" i="10"/>
  <c r="Y776" i="10"/>
  <c r="C780" i="10"/>
  <c r="W780" i="10"/>
  <c r="X780" i="10"/>
  <c r="Y780" i="10"/>
  <c r="C773" i="10"/>
  <c r="W773" i="10"/>
  <c r="X773" i="10"/>
  <c r="Y773" i="10"/>
  <c r="C779" i="10"/>
  <c r="W779" i="10"/>
  <c r="X779" i="10"/>
  <c r="Y779" i="10"/>
  <c r="C777" i="10"/>
  <c r="O777" i="10"/>
  <c r="C788" i="10"/>
  <c r="W788" i="10"/>
  <c r="X788" i="10"/>
  <c r="Y788" i="10"/>
  <c r="C791" i="10"/>
  <c r="W791" i="10"/>
  <c r="X791" i="10"/>
  <c r="Y791" i="10"/>
  <c r="C793" i="10"/>
  <c r="W793" i="10"/>
  <c r="X793" i="10"/>
  <c r="Y793" i="10"/>
  <c r="C792" i="10"/>
  <c r="W792" i="10"/>
  <c r="X792" i="10"/>
  <c r="Y792" i="10"/>
  <c r="C794" i="10"/>
  <c r="W794" i="10"/>
  <c r="X794" i="10"/>
  <c r="Y794" i="10"/>
  <c r="C795" i="10"/>
  <c r="W795" i="10"/>
  <c r="X795" i="10"/>
  <c r="Y795" i="10"/>
  <c r="C796" i="10"/>
  <c r="W796" i="10"/>
  <c r="X796" i="10"/>
  <c r="Y796" i="10"/>
  <c r="C797" i="10"/>
  <c r="W797" i="10"/>
  <c r="X797" i="10"/>
  <c r="Y797" i="10"/>
  <c r="C798" i="10"/>
  <c r="W798" i="10"/>
  <c r="X798" i="10"/>
  <c r="Y798" i="10"/>
  <c r="C799" i="10"/>
  <c r="W799" i="10"/>
  <c r="X799" i="10"/>
  <c r="Y799" i="10"/>
  <c r="C800" i="10"/>
  <c r="W800" i="10"/>
  <c r="X800" i="10"/>
  <c r="Y800" i="10"/>
  <c r="C801" i="10"/>
  <c r="W801" i="10"/>
  <c r="X801" i="10"/>
  <c r="Y801" i="10"/>
  <c r="C802" i="10"/>
  <c r="W802" i="10"/>
  <c r="X802" i="10"/>
  <c r="Y802" i="10"/>
  <c r="C803" i="10"/>
  <c r="W803" i="10"/>
  <c r="X803" i="10"/>
  <c r="Y803" i="10"/>
  <c r="C804" i="10"/>
  <c r="W804" i="10"/>
  <c r="X804" i="10"/>
  <c r="Y804" i="10"/>
  <c r="C805" i="10"/>
  <c r="W805" i="10"/>
  <c r="X805" i="10"/>
  <c r="Y805" i="10"/>
  <c r="C806" i="10"/>
  <c r="X806" i="10"/>
  <c r="C807" i="10"/>
  <c r="W807" i="10"/>
  <c r="X807" i="10"/>
  <c r="Y807" i="10"/>
  <c r="C808" i="10"/>
  <c r="W808" i="10"/>
  <c r="X808" i="10"/>
  <c r="Y808" i="10"/>
  <c r="C809" i="10"/>
  <c r="W809" i="10"/>
  <c r="X809" i="10"/>
  <c r="Y809" i="10"/>
  <c r="C811" i="10"/>
  <c r="W811" i="10"/>
  <c r="X811" i="10"/>
  <c r="Y811" i="10"/>
  <c r="C812" i="10"/>
  <c r="W812" i="10"/>
  <c r="X812" i="10"/>
  <c r="Y812" i="10"/>
  <c r="C813" i="10"/>
  <c r="W813" i="10"/>
  <c r="X813" i="10"/>
  <c r="Y813" i="10"/>
  <c r="C814" i="10"/>
  <c r="W814" i="10"/>
  <c r="X814" i="10"/>
  <c r="Y814" i="10"/>
  <c r="C816" i="10"/>
  <c r="W816" i="10"/>
  <c r="X816" i="10"/>
  <c r="Y816" i="10"/>
  <c r="C817" i="10"/>
  <c r="W817" i="10"/>
  <c r="X817" i="10"/>
  <c r="Y817" i="10"/>
  <c r="C818" i="10"/>
  <c r="W818" i="10"/>
  <c r="X818" i="10"/>
  <c r="Y818" i="10"/>
  <c r="C819" i="10"/>
  <c r="C820" i="10"/>
  <c r="W820" i="10"/>
  <c r="X820" i="10"/>
  <c r="Y820" i="10"/>
  <c r="C821" i="10"/>
  <c r="W821" i="10"/>
  <c r="X821" i="10"/>
  <c r="Y821" i="10"/>
  <c r="C822" i="10"/>
  <c r="O822" i="10"/>
  <c r="X822" i="10"/>
  <c r="C824" i="10"/>
  <c r="C825" i="10"/>
  <c r="W825" i="10"/>
  <c r="X825" i="10"/>
  <c r="Y825" i="10"/>
  <c r="C827" i="10"/>
  <c r="W827" i="10"/>
  <c r="X827" i="10"/>
  <c r="Y827" i="10"/>
  <c r="C828" i="10"/>
  <c r="W828" i="10"/>
  <c r="X828" i="10"/>
  <c r="Y828" i="10"/>
  <c r="C829" i="10"/>
  <c r="W829" i="10"/>
  <c r="X829" i="10"/>
  <c r="Y829" i="10"/>
  <c r="C830" i="10"/>
  <c r="W830" i="10"/>
  <c r="X830" i="10"/>
  <c r="Y830" i="10"/>
  <c r="C831" i="10"/>
  <c r="W831" i="10"/>
  <c r="X831" i="10"/>
  <c r="Y831" i="10"/>
  <c r="C832" i="10"/>
  <c r="W832" i="10"/>
  <c r="X832" i="10"/>
  <c r="Y832" i="10"/>
  <c r="C833" i="10"/>
  <c r="W833" i="10"/>
  <c r="X833" i="10"/>
  <c r="Y833" i="10"/>
  <c r="C834" i="10"/>
  <c r="W834" i="10"/>
  <c r="X834" i="10"/>
  <c r="Y834" i="10"/>
  <c r="C835" i="10"/>
  <c r="W835" i="10"/>
  <c r="X835" i="10"/>
  <c r="Y835" i="10"/>
  <c r="C836" i="10"/>
  <c r="W836" i="10"/>
  <c r="X836" i="10"/>
  <c r="Y836" i="10"/>
  <c r="C837" i="10"/>
  <c r="C838" i="10"/>
  <c r="W838" i="10"/>
  <c r="X838" i="10"/>
  <c r="Y838" i="10"/>
  <c r="C839" i="10"/>
  <c r="W839" i="10"/>
  <c r="X839" i="10"/>
  <c r="Y839" i="10"/>
  <c r="C840" i="10"/>
  <c r="W840" i="10"/>
  <c r="X840" i="10"/>
  <c r="Y840" i="10"/>
  <c r="C841" i="10"/>
  <c r="W841" i="10"/>
  <c r="X841" i="10"/>
  <c r="Y841" i="10"/>
  <c r="C843" i="10"/>
  <c r="W843" i="10"/>
  <c r="X843" i="10"/>
  <c r="Y843" i="10"/>
  <c r="C842" i="10"/>
  <c r="W842" i="10"/>
  <c r="X842" i="10"/>
  <c r="Y842" i="10"/>
  <c r="C844" i="10"/>
  <c r="W844" i="10"/>
  <c r="X844" i="10"/>
  <c r="Y844" i="10"/>
  <c r="C845" i="10"/>
  <c r="W845" i="10"/>
  <c r="X845" i="10"/>
  <c r="Y845" i="10"/>
  <c r="C846" i="10"/>
  <c r="W846" i="10"/>
  <c r="X846" i="10"/>
  <c r="Y846" i="10"/>
  <c r="C847" i="10"/>
  <c r="W847" i="10"/>
  <c r="X847" i="10"/>
  <c r="Y847" i="10"/>
  <c r="C848" i="10"/>
  <c r="W848" i="10"/>
  <c r="X848" i="10"/>
  <c r="Y848" i="10"/>
  <c r="C849" i="10"/>
  <c r="W849" i="10"/>
  <c r="X849" i="10"/>
  <c r="Y849" i="10"/>
  <c r="C850" i="10"/>
  <c r="W850" i="10"/>
  <c r="X850" i="10"/>
  <c r="Y850" i="10"/>
  <c r="C851" i="10"/>
  <c r="C852" i="10"/>
  <c r="W852" i="10"/>
  <c r="X852" i="10"/>
  <c r="Y852" i="10"/>
  <c r="C853" i="10"/>
  <c r="W853" i="10"/>
  <c r="X853" i="10"/>
  <c r="Y853" i="10"/>
  <c r="C855" i="10"/>
  <c r="W855" i="10"/>
  <c r="X855" i="10"/>
  <c r="Y855" i="10"/>
  <c r="C854" i="10"/>
  <c r="W854" i="10"/>
  <c r="X854" i="10"/>
  <c r="Y854" i="10"/>
  <c r="C856" i="10"/>
  <c r="W856" i="10"/>
  <c r="X856" i="10"/>
  <c r="Y856" i="10"/>
  <c r="C857" i="10"/>
  <c r="W857" i="10"/>
  <c r="X857" i="10"/>
  <c r="Y857" i="10"/>
  <c r="C858" i="10"/>
  <c r="X858" i="10"/>
  <c r="C859" i="10"/>
  <c r="W859" i="10"/>
  <c r="X859" i="10"/>
  <c r="Y859" i="10"/>
  <c r="C860" i="10"/>
  <c r="W860" i="10"/>
  <c r="X860" i="10"/>
  <c r="Y860" i="10"/>
  <c r="C861" i="10"/>
  <c r="W861" i="10"/>
  <c r="X861" i="10"/>
  <c r="Y861" i="10"/>
  <c r="C862" i="10"/>
  <c r="W862" i="10"/>
  <c r="X862" i="10"/>
  <c r="Y862" i="10"/>
  <c r="C864" i="10"/>
  <c r="W864" i="10"/>
  <c r="X864" i="10"/>
  <c r="Y864" i="10"/>
  <c r="C865" i="10"/>
  <c r="W865" i="10"/>
  <c r="X865" i="10"/>
  <c r="Y865" i="10"/>
  <c r="C867" i="10"/>
  <c r="W867" i="10"/>
  <c r="X867" i="10"/>
  <c r="Y867" i="10"/>
  <c r="C866" i="10"/>
  <c r="W866" i="10"/>
  <c r="X866" i="10"/>
  <c r="Y866" i="10"/>
  <c r="C868" i="10"/>
  <c r="W868" i="10"/>
  <c r="X868" i="10"/>
  <c r="Y868" i="10"/>
  <c r="C869" i="10"/>
  <c r="W869" i="10"/>
  <c r="X869" i="10"/>
  <c r="Y869" i="10"/>
  <c r="C870" i="10"/>
  <c r="W870" i="10"/>
  <c r="X870" i="10"/>
  <c r="Y870" i="10"/>
  <c r="C871" i="10"/>
  <c r="W871" i="10"/>
  <c r="X871" i="10"/>
  <c r="Y871" i="10"/>
  <c r="C872" i="10"/>
  <c r="W872" i="10"/>
  <c r="X872" i="10"/>
  <c r="Y872" i="10"/>
  <c r="C873" i="10"/>
  <c r="W873" i="10"/>
  <c r="X873" i="10"/>
  <c r="Y873" i="10"/>
  <c r="C874" i="10"/>
  <c r="W874" i="10"/>
  <c r="X874" i="10"/>
  <c r="Y874" i="10"/>
  <c r="C875" i="10"/>
  <c r="W875" i="10"/>
  <c r="X875" i="10"/>
  <c r="Y875" i="10"/>
  <c r="C876" i="10"/>
  <c r="W876" i="10"/>
  <c r="X876" i="10"/>
  <c r="Y876" i="10"/>
  <c r="C877" i="10"/>
  <c r="W877" i="10"/>
  <c r="X877" i="10"/>
  <c r="Y877" i="10"/>
  <c r="C878" i="10"/>
  <c r="W878" i="10"/>
  <c r="X878" i="10"/>
  <c r="Y878" i="10"/>
  <c r="C879" i="10"/>
  <c r="W879" i="10"/>
  <c r="X879" i="10"/>
  <c r="Y879" i="10"/>
  <c r="C880" i="10"/>
  <c r="W880" i="10"/>
  <c r="X880" i="10"/>
  <c r="Y880" i="10"/>
  <c r="C881" i="10"/>
  <c r="W881" i="10"/>
  <c r="X881" i="10"/>
  <c r="Y881" i="10"/>
  <c r="C882" i="10"/>
  <c r="W882" i="10"/>
  <c r="X882" i="10"/>
  <c r="Y882" i="10"/>
  <c r="C883" i="10"/>
  <c r="W883" i="10"/>
  <c r="X883" i="10"/>
  <c r="Y883" i="10"/>
  <c r="C885" i="10"/>
  <c r="W885" i="10"/>
  <c r="X885" i="10"/>
  <c r="Y885" i="10"/>
  <c r="C888" i="10"/>
  <c r="W888" i="10"/>
  <c r="X888" i="10"/>
  <c r="Y888" i="10"/>
  <c r="C890" i="10"/>
  <c r="W890" i="10"/>
  <c r="X890" i="10"/>
  <c r="Y890" i="10"/>
  <c r="C889" i="10"/>
  <c r="W889" i="10"/>
  <c r="X889" i="10"/>
  <c r="Y889" i="10"/>
  <c r="C891" i="10"/>
  <c r="W891" i="10"/>
  <c r="X891" i="10"/>
  <c r="Y891" i="10"/>
  <c r="C894" i="10"/>
  <c r="W894" i="10"/>
  <c r="X894" i="10"/>
  <c r="Y894" i="10"/>
  <c r="C893" i="10"/>
  <c r="W893" i="10"/>
  <c r="X893" i="10"/>
  <c r="Y893" i="10"/>
  <c r="C892" i="10"/>
  <c r="W892" i="10"/>
  <c r="X892" i="10"/>
  <c r="Y892" i="10"/>
  <c r="C895" i="10"/>
  <c r="W895" i="10"/>
  <c r="X895" i="10"/>
  <c r="Y895" i="10"/>
  <c r="C897" i="10"/>
  <c r="W897" i="10"/>
  <c r="X897" i="10"/>
  <c r="Y897" i="10"/>
  <c r="C896" i="10"/>
  <c r="W896" i="10"/>
  <c r="X896" i="10"/>
  <c r="Y896" i="10"/>
  <c r="C898" i="10"/>
  <c r="W898" i="10"/>
  <c r="X898" i="10"/>
  <c r="Y898" i="10"/>
  <c r="C900" i="10"/>
  <c r="W900" i="10"/>
  <c r="X900" i="10"/>
  <c r="Y900" i="10"/>
  <c r="C899" i="10"/>
  <c r="W899" i="10"/>
  <c r="X899" i="10"/>
  <c r="Y899" i="10"/>
  <c r="C902" i="10"/>
  <c r="W902" i="10"/>
  <c r="X902" i="10"/>
  <c r="Y902" i="10"/>
  <c r="C904" i="10"/>
  <c r="W904" i="10"/>
  <c r="X904" i="10"/>
  <c r="Y904" i="10"/>
  <c r="C903" i="10"/>
  <c r="W903" i="10"/>
  <c r="X903" i="10"/>
  <c r="Y903" i="10"/>
  <c r="C905" i="10"/>
  <c r="W905" i="10"/>
  <c r="X905" i="10"/>
  <c r="Y905" i="10"/>
  <c r="C906" i="10"/>
  <c r="W906" i="10"/>
  <c r="X906" i="10"/>
  <c r="Y906" i="10"/>
  <c r="C907" i="10"/>
  <c r="W907" i="10"/>
  <c r="X907" i="10"/>
  <c r="Y907" i="10"/>
  <c r="C908" i="10"/>
  <c r="W908" i="10"/>
  <c r="X908" i="10"/>
  <c r="Y908" i="10"/>
  <c r="C909" i="10"/>
  <c r="W909" i="10"/>
  <c r="X909" i="10"/>
  <c r="Y909" i="10"/>
  <c r="C910" i="10"/>
  <c r="W910" i="10"/>
  <c r="X910" i="10"/>
  <c r="Y910" i="10"/>
  <c r="C913" i="10"/>
  <c r="W913" i="10"/>
  <c r="X913" i="10"/>
  <c r="Y913" i="10"/>
  <c r="C911" i="10"/>
  <c r="W911" i="10"/>
  <c r="X911" i="10"/>
  <c r="Y911" i="10"/>
  <c r="C912" i="10"/>
  <c r="W912" i="10"/>
  <c r="X912" i="10"/>
  <c r="Y912" i="10"/>
  <c r="C915" i="10"/>
  <c r="W915" i="10"/>
  <c r="X915" i="10"/>
  <c r="Y915" i="10"/>
  <c r="C914" i="10"/>
  <c r="W914" i="10"/>
  <c r="X914" i="10"/>
  <c r="Y914" i="10"/>
  <c r="C916" i="10"/>
  <c r="W916" i="10"/>
  <c r="X916" i="10"/>
  <c r="Y916" i="10"/>
  <c r="C917" i="10"/>
  <c r="W917" i="10"/>
  <c r="X917" i="10"/>
  <c r="Y917" i="10"/>
  <c r="C918" i="10"/>
  <c r="W918" i="10"/>
  <c r="X918" i="10"/>
  <c r="Y918" i="10"/>
  <c r="C919" i="10"/>
  <c r="W919" i="10"/>
  <c r="X919" i="10"/>
  <c r="Y919" i="10"/>
  <c r="C920" i="10"/>
  <c r="W920" i="10"/>
  <c r="X920" i="10"/>
  <c r="Y920" i="10"/>
  <c r="C921" i="10"/>
  <c r="W921" i="10"/>
  <c r="X921" i="10"/>
  <c r="Y921" i="10"/>
  <c r="C922" i="10"/>
  <c r="W922" i="10"/>
  <c r="X922" i="10"/>
  <c r="Y922" i="10"/>
  <c r="C923" i="10"/>
  <c r="W923" i="10"/>
  <c r="X923" i="10"/>
  <c r="Y923" i="10"/>
  <c r="C924" i="10"/>
  <c r="W924" i="10"/>
  <c r="X924" i="10"/>
  <c r="Y924" i="10"/>
  <c r="C925" i="10"/>
  <c r="W925" i="10"/>
  <c r="X925" i="10"/>
  <c r="Y925" i="10"/>
  <c r="C926" i="10"/>
  <c r="W926" i="10"/>
  <c r="X926" i="10"/>
  <c r="Y926" i="10"/>
  <c r="C927" i="10"/>
  <c r="W927" i="10"/>
  <c r="X927" i="10"/>
  <c r="Y927" i="10"/>
  <c r="C934" i="10"/>
  <c r="W934" i="10"/>
  <c r="X934" i="10"/>
  <c r="Y934" i="10"/>
  <c r="C930" i="10"/>
  <c r="W930" i="10"/>
  <c r="X930" i="10"/>
  <c r="Y930" i="10"/>
  <c r="C937" i="10"/>
  <c r="W937" i="10"/>
  <c r="X937" i="10"/>
  <c r="Y937" i="10"/>
  <c r="C929" i="10"/>
  <c r="W929" i="10"/>
  <c r="X929" i="10"/>
  <c r="Y929" i="10"/>
  <c r="C932" i="10"/>
  <c r="W932" i="10"/>
  <c r="X932" i="10"/>
  <c r="Y932" i="10"/>
  <c r="C935" i="10"/>
  <c r="W935" i="10"/>
  <c r="X935" i="10"/>
  <c r="Y935" i="10"/>
  <c r="C939" i="10"/>
  <c r="W939" i="10"/>
  <c r="X939" i="10"/>
  <c r="Y939" i="10"/>
  <c r="C936" i="10"/>
  <c r="W936" i="10"/>
  <c r="X936" i="10"/>
  <c r="Y936" i="10"/>
  <c r="C933" i="10"/>
  <c r="W933" i="10"/>
  <c r="X933" i="10"/>
  <c r="Y933" i="10"/>
  <c r="C938" i="10"/>
  <c r="W938" i="10"/>
  <c r="X938" i="10"/>
  <c r="Y938" i="10"/>
  <c r="C940" i="10"/>
  <c r="W940" i="10"/>
  <c r="X940" i="10"/>
  <c r="Y940" i="10"/>
  <c r="C941" i="10"/>
  <c r="W941" i="10"/>
  <c r="X941" i="10"/>
  <c r="Y941" i="10"/>
  <c r="C931" i="10"/>
  <c r="W931" i="10"/>
  <c r="X931" i="10"/>
  <c r="Y931" i="10"/>
  <c r="C942" i="10"/>
  <c r="W942" i="10"/>
  <c r="X942" i="10"/>
  <c r="Y942" i="10"/>
  <c r="C943" i="10"/>
  <c r="W943" i="10"/>
  <c r="X943" i="10"/>
  <c r="Y943" i="10"/>
  <c r="C944" i="10"/>
  <c r="W944" i="10"/>
  <c r="X944" i="10"/>
  <c r="Y944" i="10"/>
  <c r="C945" i="10"/>
  <c r="W945" i="10"/>
  <c r="X945" i="10"/>
  <c r="Y945" i="10"/>
  <c r="C946" i="10"/>
  <c r="W946" i="10"/>
  <c r="X946" i="10"/>
  <c r="Y946" i="10"/>
  <c r="C947" i="10"/>
  <c r="W947" i="10"/>
  <c r="X947" i="10"/>
  <c r="Y947" i="10"/>
  <c r="C948" i="10"/>
  <c r="W948" i="10"/>
  <c r="X948" i="10"/>
  <c r="Y948" i="10"/>
  <c r="C949" i="10"/>
  <c r="W949" i="10"/>
  <c r="X949" i="10"/>
  <c r="Y949" i="10"/>
  <c r="C951" i="10"/>
  <c r="W951" i="10"/>
  <c r="X951" i="10"/>
  <c r="Y951" i="10"/>
  <c r="C953" i="10"/>
  <c r="W953" i="10"/>
  <c r="X953" i="10"/>
  <c r="Y953" i="10"/>
  <c r="C954" i="10"/>
  <c r="W954" i="10"/>
  <c r="X954" i="10"/>
  <c r="Y954" i="10"/>
  <c r="C956" i="10"/>
  <c r="Y956" i="10"/>
  <c r="C957" i="10"/>
  <c r="W957" i="10"/>
  <c r="X957" i="10"/>
  <c r="Y957" i="10"/>
  <c r="C958" i="10"/>
  <c r="W958" i="10"/>
  <c r="X958" i="10"/>
  <c r="Y958" i="10"/>
  <c r="C959" i="10"/>
  <c r="W959" i="10"/>
  <c r="X959" i="10"/>
  <c r="Y959" i="10"/>
  <c r="C961" i="10"/>
  <c r="W961" i="10"/>
  <c r="X961" i="10"/>
  <c r="Y961" i="10"/>
  <c r="C962" i="10"/>
  <c r="W962" i="10"/>
  <c r="X962" i="10"/>
  <c r="Y962" i="10"/>
  <c r="C963" i="10"/>
  <c r="W963" i="10"/>
  <c r="X963" i="10"/>
  <c r="Y963" i="10"/>
  <c r="C965" i="10"/>
  <c r="W965" i="10"/>
  <c r="X965" i="10"/>
  <c r="Y965" i="10"/>
  <c r="C964" i="10"/>
  <c r="W964" i="10"/>
  <c r="X964" i="10"/>
  <c r="Y964" i="10"/>
  <c r="C966" i="10"/>
  <c r="W966" i="10"/>
  <c r="X966" i="10"/>
  <c r="Y966" i="10"/>
  <c r="C967" i="10"/>
  <c r="W967" i="10"/>
  <c r="X967" i="10"/>
  <c r="Y967" i="10"/>
  <c r="C968" i="10"/>
  <c r="W968" i="10"/>
  <c r="X968" i="10"/>
  <c r="Y968" i="10"/>
  <c r="C969" i="10"/>
  <c r="W969" i="10"/>
  <c r="X969" i="10"/>
  <c r="Y969" i="10"/>
  <c r="C970" i="10"/>
  <c r="W970" i="10"/>
  <c r="X970" i="10"/>
  <c r="Y970" i="10"/>
  <c r="C971" i="10"/>
  <c r="W971" i="10"/>
  <c r="X971" i="10"/>
  <c r="Y971" i="10"/>
  <c r="C972" i="10"/>
  <c r="W972" i="10"/>
  <c r="X972" i="10"/>
  <c r="Y972" i="10"/>
  <c r="C973" i="10"/>
  <c r="W973" i="10"/>
  <c r="X973" i="10"/>
  <c r="Y973" i="10"/>
  <c r="C974" i="10"/>
  <c r="W974" i="10"/>
  <c r="X974" i="10"/>
  <c r="Y974" i="10"/>
  <c r="C975" i="10"/>
  <c r="W975" i="10"/>
  <c r="X975" i="10"/>
  <c r="Y975" i="10"/>
  <c r="C976" i="10"/>
  <c r="W976" i="10"/>
  <c r="X976" i="10"/>
  <c r="Y976" i="10"/>
  <c r="C977" i="10"/>
  <c r="W977" i="10"/>
  <c r="X977" i="10"/>
  <c r="Y977" i="10"/>
  <c r="C978" i="10"/>
  <c r="W978" i="10"/>
  <c r="X978" i="10"/>
  <c r="Y978" i="10"/>
  <c r="C979" i="10"/>
  <c r="W979" i="10"/>
  <c r="X979" i="10"/>
  <c r="Y979" i="10"/>
  <c r="C981" i="10"/>
  <c r="W981" i="10"/>
  <c r="X981" i="10"/>
  <c r="Y981" i="10"/>
  <c r="C980" i="10"/>
  <c r="W980" i="10"/>
  <c r="X980" i="10"/>
  <c r="Y980" i="10"/>
  <c r="C982" i="10"/>
  <c r="W982" i="10"/>
  <c r="X982" i="10"/>
  <c r="Y982" i="10"/>
  <c r="C983" i="10"/>
  <c r="W983" i="10"/>
  <c r="X983" i="10"/>
  <c r="Y983" i="10"/>
  <c r="C984" i="10"/>
  <c r="W984" i="10"/>
  <c r="X984" i="10"/>
  <c r="Y984" i="10"/>
  <c r="C985" i="10"/>
  <c r="W985" i="10"/>
  <c r="X985" i="10"/>
  <c r="Y985" i="10"/>
  <c r="C988" i="10"/>
  <c r="W988" i="10"/>
  <c r="X988" i="10"/>
  <c r="Y988" i="10"/>
  <c r="C992" i="10"/>
  <c r="W992" i="10"/>
  <c r="X992" i="10"/>
  <c r="Y992" i="10"/>
  <c r="C991" i="10"/>
  <c r="W991" i="10"/>
  <c r="X991" i="10"/>
  <c r="Y991" i="10"/>
  <c r="C993" i="10"/>
  <c r="W993" i="10"/>
  <c r="X993" i="10"/>
  <c r="Y993" i="10"/>
  <c r="C990" i="10"/>
  <c r="W990" i="10"/>
  <c r="X990" i="10"/>
  <c r="Y990" i="10"/>
  <c r="C994" i="10"/>
  <c r="W994" i="10"/>
  <c r="X994" i="10"/>
  <c r="Y994" i="10"/>
  <c r="C995" i="10"/>
  <c r="W995" i="10"/>
  <c r="X995" i="10"/>
  <c r="Y995" i="10"/>
  <c r="C996" i="10"/>
  <c r="W996" i="10"/>
  <c r="X996" i="10"/>
  <c r="Y996" i="10"/>
  <c r="C997" i="10"/>
  <c r="W997" i="10"/>
  <c r="X997" i="10"/>
  <c r="Y997" i="10"/>
  <c r="C999" i="10"/>
  <c r="W999" i="10"/>
  <c r="X999" i="10"/>
  <c r="Y999" i="10"/>
  <c r="C1002" i="10"/>
  <c r="W1002" i="10"/>
  <c r="X1002" i="10"/>
  <c r="Y1002" i="10"/>
  <c r="C1000" i="10"/>
  <c r="W1000" i="10"/>
  <c r="X1000" i="10"/>
  <c r="Y1000" i="10"/>
  <c r="C1001" i="10"/>
  <c r="O1001" i="10"/>
  <c r="W1001" i="10"/>
  <c r="X1001" i="10"/>
  <c r="Y1001" i="10"/>
  <c r="C1004" i="10"/>
  <c r="W1004" i="10"/>
  <c r="X1004" i="10"/>
  <c r="Y1004" i="10"/>
  <c r="C1005" i="10"/>
  <c r="W1005" i="10"/>
  <c r="X1005" i="10"/>
  <c r="Y1005" i="10"/>
  <c r="C1006" i="10"/>
  <c r="W1006" i="10"/>
  <c r="X1006" i="10"/>
  <c r="Y1006" i="10"/>
  <c r="C1007" i="10"/>
  <c r="W1007" i="10"/>
  <c r="X1007" i="10"/>
  <c r="Y1007" i="10"/>
  <c r="C1009" i="10"/>
  <c r="W1009" i="10"/>
  <c r="X1009" i="10"/>
  <c r="Y1009" i="10"/>
  <c r="C1011" i="10"/>
  <c r="W1011" i="10"/>
  <c r="X1011" i="10"/>
  <c r="Y1011" i="10"/>
  <c r="C1010" i="10"/>
  <c r="W1010" i="10"/>
  <c r="X1010" i="10"/>
  <c r="Y1010" i="10"/>
  <c r="C1012" i="10"/>
  <c r="W1012" i="10"/>
  <c r="X1012" i="10"/>
  <c r="Y1012" i="10"/>
  <c r="C1013" i="10"/>
  <c r="W1013" i="10"/>
  <c r="X1013" i="10"/>
  <c r="Y1013" i="10"/>
  <c r="C1014" i="10"/>
  <c r="W1014" i="10"/>
  <c r="X1014" i="10"/>
  <c r="Y1014" i="10"/>
  <c r="C1015" i="10"/>
  <c r="W1015" i="10"/>
  <c r="X1015" i="10"/>
  <c r="Y1015" i="10"/>
  <c r="C1017" i="10"/>
  <c r="W1017" i="10"/>
  <c r="X1017" i="10"/>
  <c r="Y1017" i="10"/>
  <c r="C1016" i="10"/>
  <c r="W1016" i="10"/>
  <c r="X1016" i="10"/>
  <c r="Y1016" i="10"/>
  <c r="C1019" i="10"/>
  <c r="W1019" i="10"/>
  <c r="X1019" i="10"/>
  <c r="Y1019" i="10"/>
  <c r="C1020" i="10"/>
  <c r="W1020" i="10"/>
  <c r="X1020" i="10"/>
  <c r="Y1020" i="10"/>
  <c r="C1021" i="10"/>
  <c r="W1021" i="10"/>
  <c r="X1021" i="10"/>
  <c r="Y1021" i="10"/>
  <c r="C1022" i="10"/>
  <c r="W1022" i="10"/>
  <c r="X1022" i="10"/>
  <c r="Y1022" i="10"/>
  <c r="C1024" i="10"/>
  <c r="W1024" i="10"/>
  <c r="X1024" i="10"/>
  <c r="Y1024" i="10"/>
  <c r="C1023" i="10"/>
  <c r="W1023" i="10"/>
  <c r="X1023" i="10"/>
  <c r="Y1023" i="10"/>
  <c r="C1025" i="10"/>
  <c r="W1025" i="10"/>
  <c r="X1025" i="10"/>
  <c r="Y1025" i="10"/>
  <c r="C1027" i="10"/>
  <c r="W1027" i="10"/>
  <c r="X1027" i="10"/>
  <c r="Y1027" i="10"/>
  <c r="C1028" i="10"/>
  <c r="W1028" i="10"/>
  <c r="X1028" i="10"/>
  <c r="Y1028" i="10"/>
  <c r="C1029" i="10"/>
  <c r="W1029" i="10"/>
  <c r="X1029" i="10"/>
  <c r="Y1029" i="10"/>
  <c r="C1030" i="10"/>
  <c r="W1030" i="10"/>
  <c r="X1030" i="10"/>
  <c r="Y1030" i="10"/>
  <c r="C1031" i="10"/>
  <c r="W1031" i="10"/>
  <c r="X1031" i="10"/>
  <c r="Y1031" i="10"/>
  <c r="C1032" i="10"/>
  <c r="W1032" i="10"/>
  <c r="X1032" i="10"/>
  <c r="Y1032" i="10"/>
  <c r="C1033" i="10"/>
  <c r="W1033" i="10"/>
  <c r="X1033" i="10"/>
  <c r="Y1033" i="10"/>
  <c r="C1035" i="10"/>
  <c r="W1035" i="10"/>
  <c r="X1035" i="10"/>
  <c r="Y1035" i="10"/>
  <c r="C1036" i="10"/>
  <c r="W1036" i="10"/>
  <c r="X1036" i="10"/>
  <c r="Y1036" i="10"/>
  <c r="C1037" i="10"/>
  <c r="W1037" i="10"/>
  <c r="X1037" i="10"/>
  <c r="Y1037" i="10"/>
  <c r="C1039" i="10"/>
  <c r="W1039" i="10"/>
  <c r="X1039" i="10"/>
  <c r="Y1039" i="10"/>
  <c r="C1041" i="10"/>
  <c r="Y1041" i="10"/>
  <c r="C1042" i="10"/>
  <c r="W1042" i="10"/>
  <c r="X1042" i="10"/>
  <c r="Y1042" i="10"/>
  <c r="C1043" i="10"/>
  <c r="W1043" i="10"/>
  <c r="X1043" i="10"/>
  <c r="Y1043" i="10"/>
  <c r="C1044" i="10"/>
  <c r="W1044" i="10"/>
  <c r="X1044" i="10"/>
  <c r="Y1044" i="10"/>
  <c r="C1048" i="10"/>
  <c r="W1048" i="10"/>
  <c r="X1048" i="10"/>
  <c r="Y1048" i="10"/>
  <c r="C1046" i="10"/>
  <c r="W1046" i="10"/>
  <c r="X1046" i="10"/>
  <c r="Y1046" i="10"/>
  <c r="C1049" i="10"/>
  <c r="W1049" i="10"/>
  <c r="X1049" i="10"/>
  <c r="Y1049" i="10"/>
  <c r="C1045" i="10"/>
  <c r="W1045" i="10"/>
  <c r="X1045" i="10"/>
  <c r="Y1045" i="10"/>
  <c r="C1050" i="10"/>
  <c r="W1050" i="10"/>
  <c r="X1050" i="10"/>
  <c r="Y1050" i="10"/>
  <c r="C1051" i="10"/>
  <c r="W1051" i="10"/>
  <c r="X1051" i="10"/>
  <c r="Y1051" i="10"/>
  <c r="C1052" i="10"/>
  <c r="W1052" i="10"/>
  <c r="X1052" i="10"/>
  <c r="Y1052" i="10"/>
  <c r="C1053" i="10"/>
  <c r="C1054" i="10"/>
  <c r="W1054" i="10"/>
  <c r="X1054" i="10"/>
  <c r="Y1054" i="10"/>
  <c r="C1055" i="10"/>
  <c r="W1055" i="10"/>
  <c r="X1055" i="10"/>
  <c r="Y1055" i="10"/>
  <c r="C1056" i="10"/>
  <c r="W1056" i="10"/>
  <c r="X1056" i="10"/>
  <c r="Y1056" i="10"/>
  <c r="C1057" i="10"/>
  <c r="W1057" i="10"/>
  <c r="X1057" i="10"/>
  <c r="Y1057" i="10"/>
  <c r="C1061" i="10"/>
  <c r="W1061" i="10"/>
  <c r="X1061" i="10"/>
  <c r="Y1061" i="10"/>
  <c r="C1060" i="10"/>
  <c r="W1060" i="10"/>
  <c r="X1060" i="10"/>
  <c r="Y1060" i="10"/>
  <c r="C1062" i="10"/>
  <c r="W1062" i="10"/>
  <c r="X1062" i="10"/>
  <c r="Y1062" i="10"/>
  <c r="C1063" i="10"/>
  <c r="W1063" i="10"/>
  <c r="X1063" i="10"/>
  <c r="Y1063" i="10"/>
  <c r="C1065" i="10"/>
  <c r="W1065" i="10"/>
  <c r="X1065" i="10"/>
  <c r="Y1065" i="10"/>
  <c r="C1066" i="10"/>
  <c r="W1066" i="10"/>
  <c r="X1066" i="10"/>
  <c r="Y1066" i="10"/>
  <c r="C1067" i="10"/>
  <c r="W1067" i="10"/>
  <c r="X1067" i="10"/>
  <c r="Y1067" i="10"/>
  <c r="C1068" i="10"/>
  <c r="W1068" i="10"/>
  <c r="X1068" i="10"/>
  <c r="Y1068" i="10"/>
  <c r="C1069" i="10"/>
  <c r="W1069" i="10"/>
  <c r="X1069" i="10"/>
  <c r="Y1069" i="10"/>
  <c r="C1071" i="10"/>
  <c r="W1071" i="10"/>
  <c r="X1071" i="10"/>
  <c r="Y1071" i="10"/>
  <c r="C1070" i="10"/>
  <c r="W1070" i="10"/>
  <c r="X1070" i="10"/>
  <c r="Y1070" i="10"/>
  <c r="C1073" i="10"/>
  <c r="W1073" i="10"/>
  <c r="X1073" i="10"/>
  <c r="Y1073" i="10"/>
  <c r="C1074" i="10"/>
  <c r="W1074" i="10"/>
  <c r="X1074" i="10"/>
  <c r="Y1074" i="10"/>
  <c r="C1072" i="10"/>
  <c r="W1072" i="10"/>
  <c r="X1072" i="10"/>
  <c r="Y1072" i="10"/>
  <c r="C1075" i="10"/>
  <c r="W1075" i="10"/>
  <c r="X1075" i="10"/>
  <c r="Y1075" i="10"/>
  <c r="C1076" i="10"/>
  <c r="W1076" i="10"/>
  <c r="X1076" i="10"/>
  <c r="Y1076" i="10"/>
  <c r="C1077" i="10"/>
  <c r="W1077" i="10"/>
  <c r="X1077" i="10"/>
  <c r="Y1077" i="10"/>
  <c r="C1078" i="10"/>
  <c r="W1078" i="10"/>
  <c r="X1078" i="10"/>
  <c r="Y1078" i="10"/>
  <c r="C1079" i="10"/>
  <c r="W1079" i="10"/>
  <c r="X1079" i="10"/>
  <c r="Y1079" i="10"/>
  <c r="C1081" i="10"/>
  <c r="W1081" i="10"/>
  <c r="X1081" i="10"/>
  <c r="Y1081" i="10"/>
  <c r="C1080" i="10"/>
  <c r="W1080" i="10"/>
  <c r="X1080" i="10"/>
  <c r="Y1080" i="10"/>
  <c r="C1082" i="10"/>
  <c r="W1082" i="10"/>
  <c r="X1082" i="10"/>
  <c r="Y1082" i="10"/>
  <c r="C1083" i="10"/>
  <c r="W1083" i="10"/>
  <c r="X1083" i="10"/>
  <c r="Y1083" i="10"/>
  <c r="C1084" i="10"/>
  <c r="W1084" i="10"/>
  <c r="X1084" i="10"/>
  <c r="Y1084" i="10"/>
  <c r="C1085" i="10"/>
  <c r="W1085" i="10"/>
  <c r="X1085" i="10"/>
  <c r="Y1085" i="10"/>
  <c r="C1086" i="10"/>
  <c r="W1086" i="10"/>
  <c r="X1086" i="10"/>
  <c r="Y1086" i="10"/>
  <c r="C1087" i="10"/>
  <c r="W1087" i="10"/>
  <c r="X1087" i="10"/>
  <c r="Y1087" i="10"/>
  <c r="C1088" i="10"/>
  <c r="W1088" i="10"/>
  <c r="X1088" i="10"/>
  <c r="Y1088" i="10"/>
  <c r="C1092" i="10"/>
  <c r="W1092" i="10"/>
  <c r="X1092" i="10"/>
  <c r="Y1092" i="10"/>
  <c r="C1089" i="10"/>
  <c r="W1089" i="10"/>
  <c r="X1089" i="10"/>
  <c r="Y1089" i="10"/>
  <c r="C1090" i="10"/>
  <c r="W1090" i="10"/>
  <c r="X1090" i="10"/>
  <c r="Y1090" i="10"/>
  <c r="C1093" i="10"/>
  <c r="W1093" i="10"/>
  <c r="X1093" i="10"/>
  <c r="Y1093" i="10"/>
  <c r="C1094" i="10"/>
  <c r="W1094" i="10"/>
  <c r="X1094" i="10"/>
  <c r="Y1094" i="10"/>
  <c r="X685" i="10" l="1"/>
  <c r="X565" i="10"/>
  <c r="W385" i="10"/>
  <c r="X998" i="10"/>
  <c r="W414" i="10"/>
  <c r="W181" i="10"/>
  <c r="Y264" i="10"/>
  <c r="W212" i="10"/>
  <c r="W397" i="10"/>
  <c r="X264" i="10"/>
  <c r="W613" i="10"/>
  <c r="W746" i="10"/>
  <c r="W90" i="10"/>
  <c r="W53" i="10"/>
  <c r="X212" i="10"/>
  <c r="W806" i="10"/>
  <c r="X320" i="10"/>
  <c r="W267" i="10"/>
  <c r="W837" i="10"/>
  <c r="X790" i="10"/>
  <c r="W210" i="10"/>
  <c r="W644" i="10"/>
  <c r="W151" i="10"/>
  <c r="W824" i="10"/>
  <c r="X956" i="10"/>
  <c r="W491" i="10"/>
  <c r="W5" i="10"/>
  <c r="W392" i="10"/>
  <c r="X824" i="10"/>
  <c r="X491" i="10"/>
  <c r="X210" i="10"/>
  <c r="W1041" i="10"/>
  <c r="W1038" i="10"/>
  <c r="X546" i="10"/>
  <c r="W514" i="10"/>
  <c r="X514" i="10"/>
  <c r="Y447" i="10"/>
  <c r="W264" i="10"/>
  <c r="X397" i="10"/>
  <c r="W447" i="10"/>
  <c r="W603" i="10"/>
  <c r="X447" i="10"/>
  <c r="X363" i="10"/>
  <c r="X151" i="10"/>
  <c r="W707" i="10"/>
  <c r="W363" i="10"/>
  <c r="X267" i="10"/>
  <c r="W8" i="10"/>
  <c r="W858" i="10"/>
  <c r="X707" i="10"/>
  <c r="X1038" i="10"/>
  <c r="W822" i="10"/>
  <c r="W481" i="10"/>
  <c r="W507" i="10"/>
  <c r="X8" i="10"/>
  <c r="W30" i="10"/>
  <c r="W546" i="10"/>
  <c r="W687" i="10"/>
  <c r="Y687" i="10"/>
  <c r="Y481" i="10"/>
  <c r="W777" i="10"/>
  <c r="X428" i="10"/>
  <c r="W685" i="10"/>
  <c r="Y546" i="10"/>
  <c r="Y392" i="10"/>
  <c r="Y363" i="10"/>
  <c r="Y685" i="10"/>
  <c r="X686" i="10"/>
  <c r="W229" i="10"/>
  <c r="X229" i="10"/>
  <c r="O748" i="10"/>
</calcChain>
</file>

<file path=xl/sharedStrings.xml><?xml version="1.0" encoding="utf-8"?>
<sst xmlns="http://schemas.openxmlformats.org/spreadsheetml/2006/main" count="4354" uniqueCount="1530">
  <si>
    <t>Surname</t>
  </si>
  <si>
    <t>First Name</t>
  </si>
  <si>
    <t>Overs</t>
  </si>
  <si>
    <t>Maidens</t>
  </si>
  <si>
    <t>Runs</t>
  </si>
  <si>
    <t>Economy</t>
  </si>
  <si>
    <t>Bowl Avg</t>
  </si>
  <si>
    <t>Bowl S/R</t>
  </si>
  <si>
    <t>S</t>
  </si>
  <si>
    <t>Total Runs Scored</t>
  </si>
  <si>
    <t>Highest Score</t>
  </si>
  <si>
    <t>Abbott</t>
  </si>
  <si>
    <t>Twain</t>
  </si>
  <si>
    <t>Abedin</t>
  </si>
  <si>
    <t>Aninda</t>
  </si>
  <si>
    <t>Abel</t>
  </si>
  <si>
    <t>Darren</t>
  </si>
  <si>
    <t>Ablett</t>
  </si>
  <si>
    <t>Mark</t>
  </si>
  <si>
    <t>Addis-Shawyer</t>
  </si>
  <si>
    <t>Chris</t>
  </si>
  <si>
    <t>Ahmed</t>
  </si>
  <si>
    <t>Faiz</t>
  </si>
  <si>
    <t>Aitken</t>
  </si>
  <si>
    <t>David</t>
  </si>
  <si>
    <t>Alagaratnam</t>
  </si>
  <si>
    <t>Suhan</t>
  </si>
  <si>
    <t>Aldons</t>
  </si>
  <si>
    <t>Brett</t>
  </si>
  <si>
    <t>Nigel</t>
  </si>
  <si>
    <t>Roger</t>
  </si>
  <si>
    <t>Steve</t>
  </si>
  <si>
    <t>Steven</t>
  </si>
  <si>
    <t>Alev</t>
  </si>
  <si>
    <t>Deniz</t>
  </si>
  <si>
    <t>Kenan</t>
  </si>
  <si>
    <t>Alexander</t>
  </si>
  <si>
    <t>Alfred</t>
  </si>
  <si>
    <t>Kingston</t>
  </si>
  <si>
    <t>Allen</t>
  </si>
  <si>
    <t xml:space="preserve">D </t>
  </si>
  <si>
    <t>Dean</t>
  </si>
  <si>
    <t>Travis</t>
  </si>
  <si>
    <t>Almond</t>
  </si>
  <si>
    <t>Amarasekera</t>
  </si>
  <si>
    <t>Leigh</t>
  </si>
  <si>
    <t>Amin</t>
  </si>
  <si>
    <t>Harshal</t>
  </si>
  <si>
    <t>Amukotuwa</t>
  </si>
  <si>
    <t>Themara</t>
  </si>
  <si>
    <t>Andrews</t>
  </si>
  <si>
    <t>Bert</t>
  </si>
  <si>
    <t>Andrinopoulos</t>
  </si>
  <si>
    <t>Jim</t>
  </si>
  <si>
    <t>Jon</t>
  </si>
  <si>
    <t>Anjana Senaviratna</t>
  </si>
  <si>
    <t>Arsiriyage</t>
  </si>
  <si>
    <t>Arezzolo</t>
  </si>
  <si>
    <t>Frank</t>
  </si>
  <si>
    <t>Ariyaratna</t>
  </si>
  <si>
    <t>Chaminda</t>
  </si>
  <si>
    <t>Armstrong</t>
  </si>
  <si>
    <t>Ken</t>
  </si>
  <si>
    <t>Arnberger</t>
  </si>
  <si>
    <t>Jason</t>
  </si>
  <si>
    <t>Arnott</t>
  </si>
  <si>
    <t>Ashley</t>
  </si>
  <si>
    <t>Wayne</t>
  </si>
  <si>
    <t>Ashan</t>
  </si>
  <si>
    <t>Athans</t>
  </si>
  <si>
    <t>Christian</t>
  </si>
  <si>
    <t>Nick</t>
  </si>
  <si>
    <t>Theo</t>
  </si>
  <si>
    <t>Athulathmudali</t>
  </si>
  <si>
    <t>K</t>
  </si>
  <si>
    <t>Kasun</t>
  </si>
  <si>
    <t>Atkinson</t>
  </si>
  <si>
    <t>John</t>
  </si>
  <si>
    <t>Atzamoglou</t>
  </si>
  <si>
    <t>Manny</t>
  </si>
  <si>
    <t>Aziz</t>
  </si>
  <si>
    <t xml:space="preserve">Bin Syed </t>
  </si>
  <si>
    <t>Bahee</t>
  </si>
  <si>
    <t>Ganesh</t>
  </si>
  <si>
    <t>Bailey</t>
  </si>
  <si>
    <t>Tom</t>
  </si>
  <si>
    <t>Baker</t>
  </si>
  <si>
    <t>Peter</t>
  </si>
  <si>
    <t>Bakhach</t>
  </si>
  <si>
    <t>Abdul</t>
  </si>
  <si>
    <t>Bakker</t>
  </si>
  <si>
    <t>Balendran</t>
  </si>
  <si>
    <t>Mayuran</t>
  </si>
  <si>
    <t>Ballard</t>
  </si>
  <si>
    <t>Richard</t>
  </si>
  <si>
    <t>Balm</t>
  </si>
  <si>
    <t>Alex</t>
  </si>
  <si>
    <t>James</t>
  </si>
  <si>
    <t>Bandara</t>
  </si>
  <si>
    <t>Ranathunga</t>
  </si>
  <si>
    <t>Baptist</t>
  </si>
  <si>
    <t>Rayne</t>
  </si>
  <si>
    <t>Baptiste</t>
  </si>
  <si>
    <t>Barker</t>
  </si>
  <si>
    <t>Dom</t>
  </si>
  <si>
    <t>Barnard</t>
  </si>
  <si>
    <t>C</t>
  </si>
  <si>
    <t>Barnes</t>
  </si>
  <si>
    <t>Malcolm</t>
  </si>
  <si>
    <t>Bartlett</t>
  </si>
  <si>
    <t>Matthew</t>
  </si>
  <si>
    <t>Shehan</t>
  </si>
  <si>
    <t>Bartley</t>
  </si>
  <si>
    <t>Basic</t>
  </si>
  <si>
    <t>Boris</t>
  </si>
  <si>
    <t>Bastiaensz</t>
  </si>
  <si>
    <t>Denver</t>
  </si>
  <si>
    <t>Bateman</t>
  </si>
  <si>
    <t>Patrick</t>
  </si>
  <si>
    <t>Bateup</t>
  </si>
  <si>
    <t>Brian</t>
  </si>
  <si>
    <t>Bedi</t>
  </si>
  <si>
    <t>Tejinder</t>
  </si>
  <si>
    <t>Beecroft</t>
  </si>
  <si>
    <t>Scott</t>
  </si>
  <si>
    <t>Tim</t>
  </si>
  <si>
    <t>Bell</t>
  </si>
  <si>
    <t>M</t>
  </si>
  <si>
    <t>Bellis</t>
  </si>
  <si>
    <t>Bennett</t>
  </si>
  <si>
    <t>Greg</t>
  </si>
  <si>
    <t>Bevan</t>
  </si>
  <si>
    <t>Aghirth</t>
  </si>
  <si>
    <t>Bew</t>
  </si>
  <si>
    <t>Rod</t>
  </si>
  <si>
    <t>Bezzett</t>
  </si>
  <si>
    <t>Tony</t>
  </si>
  <si>
    <t>Bharatula</t>
  </si>
  <si>
    <t>Vinay</t>
  </si>
  <si>
    <t>Bhatia</t>
  </si>
  <si>
    <t>Karan</t>
  </si>
  <si>
    <t>Bhowmik</t>
  </si>
  <si>
    <t>Udayan</t>
  </si>
  <si>
    <t>Bhungard</t>
  </si>
  <si>
    <t>Ian</t>
  </si>
  <si>
    <t>Billing</t>
  </si>
  <si>
    <t>Daniel</t>
  </si>
  <si>
    <t>Black</t>
  </si>
  <si>
    <t>Blake</t>
  </si>
  <si>
    <t>Simon</t>
  </si>
  <si>
    <t>Blangato</t>
  </si>
  <si>
    <t>Guy</t>
  </si>
  <si>
    <t>Blennerhassett</t>
  </si>
  <si>
    <t>Board</t>
  </si>
  <si>
    <t>Josh</t>
  </si>
  <si>
    <t>Bodenstaff</t>
  </si>
  <si>
    <t>Adam</t>
  </si>
  <si>
    <t>Bolitho</t>
  </si>
  <si>
    <t>Bommala</t>
  </si>
  <si>
    <t>Roop</t>
  </si>
  <si>
    <t>Boonkkamp</t>
  </si>
  <si>
    <t>Gerard</t>
  </si>
  <si>
    <t>Bourne</t>
  </si>
  <si>
    <t>Shane</t>
  </si>
  <si>
    <t>Bourneman</t>
  </si>
  <si>
    <t>Jarrod</t>
  </si>
  <si>
    <t>Bradley</t>
  </si>
  <si>
    <t>Brennecke</t>
  </si>
  <si>
    <t>Britto</t>
  </si>
  <si>
    <t>Ivan</t>
  </si>
  <si>
    <t>Broley</t>
  </si>
  <si>
    <t>Gary</t>
  </si>
  <si>
    <t>Robert</t>
  </si>
  <si>
    <t>Brown</t>
  </si>
  <si>
    <t>A</t>
  </si>
  <si>
    <t>Jack</t>
  </si>
  <si>
    <t>Paul</t>
  </si>
  <si>
    <t>Browne</t>
  </si>
  <si>
    <t>Eric</t>
  </si>
  <si>
    <t>Bubinew</t>
  </si>
  <si>
    <t>Vic</t>
  </si>
  <si>
    <t>Buck</t>
  </si>
  <si>
    <t>Cameron</t>
  </si>
  <si>
    <t>Harry</t>
  </si>
  <si>
    <t>Buckley</t>
  </si>
  <si>
    <t>Buggy</t>
  </si>
  <si>
    <t>Jake</t>
  </si>
  <si>
    <t>Bunce</t>
  </si>
  <si>
    <t>Burns</t>
  </si>
  <si>
    <t>Burrows</t>
  </si>
  <si>
    <t>Michael</t>
  </si>
  <si>
    <t>Butcher</t>
  </si>
  <si>
    <t>Butler</t>
  </si>
  <si>
    <t>T</t>
  </si>
  <si>
    <t>Butterworth</t>
  </si>
  <si>
    <t>Buzza</t>
  </si>
  <si>
    <t>Nathan</t>
  </si>
  <si>
    <t>Campbell</t>
  </si>
  <si>
    <t>Andrew</t>
  </si>
  <si>
    <t>I</t>
  </si>
  <si>
    <t>Carmody</t>
  </si>
  <si>
    <t>Dylan</t>
  </si>
  <si>
    <t>Carter</t>
  </si>
  <si>
    <t>Cartlidge</t>
  </si>
  <si>
    <t>Brad</t>
  </si>
  <si>
    <t>Cassar</t>
  </si>
  <si>
    <t>Flynn</t>
  </si>
  <si>
    <t>Casson</t>
  </si>
  <si>
    <t>George</t>
  </si>
  <si>
    <t>Catania</t>
  </si>
  <si>
    <t>Aidan</t>
  </si>
  <si>
    <t>Cebalo</t>
  </si>
  <si>
    <t>Brendan</t>
  </si>
  <si>
    <t>Toby</t>
  </si>
  <si>
    <t>Chapman</t>
  </si>
  <si>
    <t>Willem</t>
  </si>
  <si>
    <t>Chappell</t>
  </si>
  <si>
    <t>Chivers</t>
  </si>
  <si>
    <t>Chong</t>
  </si>
  <si>
    <t>Anselm</t>
  </si>
  <si>
    <t>Jeff</t>
  </si>
  <si>
    <t>Cincotta</t>
  </si>
  <si>
    <t>Joe</t>
  </si>
  <si>
    <t>Clark</t>
  </si>
  <si>
    <t>Jordan</t>
  </si>
  <si>
    <t>Clarke</t>
  </si>
  <si>
    <t>Adrian</t>
  </si>
  <si>
    <t>Cleary</t>
  </si>
  <si>
    <t>Clydesdale</t>
  </si>
  <si>
    <t>Matt</t>
  </si>
  <si>
    <t>Coetzee</t>
  </si>
  <si>
    <t>Colaneri</t>
  </si>
  <si>
    <t>Collins</t>
  </si>
  <si>
    <t>Colombage</t>
  </si>
  <si>
    <t>Devon</t>
  </si>
  <si>
    <t>Conner</t>
  </si>
  <si>
    <t>Davin</t>
  </si>
  <si>
    <t>Connor</t>
  </si>
  <si>
    <t>Cook</t>
  </si>
  <si>
    <t>Joel</t>
  </si>
  <si>
    <t>Russell</t>
  </si>
  <si>
    <t>Corbett</t>
  </si>
  <si>
    <t>Ben</t>
  </si>
  <si>
    <t>Cotton</t>
  </si>
  <si>
    <t>Ron</t>
  </si>
  <si>
    <t>Coughlan</t>
  </si>
  <si>
    <t>Coulson</t>
  </si>
  <si>
    <t>Courtney</t>
  </si>
  <si>
    <t>Cowan</t>
  </si>
  <si>
    <t>Cowled</t>
  </si>
  <si>
    <t>Coxon</t>
  </si>
  <si>
    <t>Cram</t>
  </si>
  <si>
    <t>Cravino</t>
  </si>
  <si>
    <t>Cresia</t>
  </si>
  <si>
    <t>Croos</t>
  </si>
  <si>
    <t>San</t>
  </si>
  <si>
    <t>Crossman</t>
  </si>
  <si>
    <t>Crowden</t>
  </si>
  <si>
    <t>Crozier</t>
  </si>
  <si>
    <t>Hayden</t>
  </si>
  <si>
    <t>Mason</t>
  </si>
  <si>
    <t>Cull</t>
  </si>
  <si>
    <t>Curran</t>
  </si>
  <si>
    <t>Cyril</t>
  </si>
  <si>
    <t>D Souza</t>
  </si>
  <si>
    <t>Ryan</t>
  </si>
  <si>
    <t>Dagys</t>
  </si>
  <si>
    <t>Dalfonso</t>
  </si>
  <si>
    <t>Dan</t>
  </si>
  <si>
    <t>Dassanayake</t>
  </si>
  <si>
    <t>Haritha</t>
  </si>
  <si>
    <t>Date</t>
  </si>
  <si>
    <t>Ashwin</t>
  </si>
  <si>
    <t>Datseres</t>
  </si>
  <si>
    <t>Davidson</t>
  </si>
  <si>
    <t>Davies</t>
  </si>
  <si>
    <t>Davis</t>
  </si>
  <si>
    <t>Kim</t>
  </si>
  <si>
    <t>Dawes</t>
  </si>
  <si>
    <t>Dwain</t>
  </si>
  <si>
    <t>Day</t>
  </si>
  <si>
    <t>Justin</t>
  </si>
  <si>
    <t>De Luca</t>
  </si>
  <si>
    <t>De Silva</t>
  </si>
  <si>
    <t>Dineth</t>
  </si>
  <si>
    <t>Navishta</t>
  </si>
  <si>
    <t>Rangana</t>
  </si>
  <si>
    <t>Sampath</t>
  </si>
  <si>
    <t>Santhuka</t>
  </si>
  <si>
    <t>De Wet</t>
  </si>
  <si>
    <t>Jeffery</t>
  </si>
  <si>
    <t>de Zoysa</t>
  </si>
  <si>
    <t>Sachithra</t>
  </si>
  <si>
    <t>Mackenzie</t>
  </si>
  <si>
    <t>Deckert</t>
  </si>
  <si>
    <t>Damian</t>
  </si>
  <si>
    <t>Dekauwe</t>
  </si>
  <si>
    <t>Dekel</t>
  </si>
  <si>
    <t>DeSilva</t>
  </si>
  <si>
    <t>Bhandu</t>
  </si>
  <si>
    <t>Randolph</t>
  </si>
  <si>
    <t>Devers</t>
  </si>
  <si>
    <t>Dharmapriya</t>
  </si>
  <si>
    <t>Dileepa</t>
  </si>
  <si>
    <t>Dharmasena</t>
  </si>
  <si>
    <t>Anjana</t>
  </si>
  <si>
    <t>Dharmatilake</t>
  </si>
  <si>
    <t>Hashan</t>
  </si>
  <si>
    <t>Di Nezza</t>
  </si>
  <si>
    <t>Julian</t>
  </si>
  <si>
    <t>Diblaso</t>
  </si>
  <si>
    <t>Dickenson</t>
  </si>
  <si>
    <t>Dickson</t>
  </si>
  <si>
    <t>Disisto</t>
  </si>
  <si>
    <t>Dissanayake</t>
  </si>
  <si>
    <t>Mahendra</t>
  </si>
  <si>
    <t>Dixon</t>
  </si>
  <si>
    <t>Dobeli</t>
  </si>
  <si>
    <t>Dobson</t>
  </si>
  <si>
    <t>Glen</t>
  </si>
  <si>
    <t>Donovan</t>
  </si>
  <si>
    <t>D</t>
  </si>
  <si>
    <t>Douglas</t>
  </si>
  <si>
    <t>Bob</t>
  </si>
  <si>
    <t>Dowse</t>
  </si>
  <si>
    <t>Luke</t>
  </si>
  <si>
    <t>Drake</t>
  </si>
  <si>
    <t>G</t>
  </si>
  <si>
    <t>D'Souza</t>
  </si>
  <si>
    <t>Dunk</t>
  </si>
  <si>
    <t>Graeme</t>
  </si>
  <si>
    <t>Dushantha</t>
  </si>
  <si>
    <t>Samith</t>
  </si>
  <si>
    <t>Dushyanthan</t>
  </si>
  <si>
    <t>Abishaan</t>
  </si>
  <si>
    <t>Dutta</t>
  </si>
  <si>
    <t>Atin</t>
  </si>
  <si>
    <t>Dwelly</t>
  </si>
  <si>
    <t>Dwyer</t>
  </si>
  <si>
    <t>Dyer</t>
  </si>
  <si>
    <t>Eastman</t>
  </si>
  <si>
    <t>Eastwood</t>
  </si>
  <si>
    <t>Stephen</t>
  </si>
  <si>
    <t>Edgar</t>
  </si>
  <si>
    <t>Stewart</t>
  </si>
  <si>
    <t>Ediriweera</t>
  </si>
  <si>
    <t>Edwards</t>
  </si>
  <si>
    <t>Alcon</t>
  </si>
  <si>
    <t>Ekanayake</t>
  </si>
  <si>
    <t>Shiran</t>
  </si>
  <si>
    <t>Ellicott</t>
  </si>
  <si>
    <t>Sean</t>
  </si>
  <si>
    <t>Elliott</t>
  </si>
  <si>
    <t>Sam</t>
  </si>
  <si>
    <t>Ellis</t>
  </si>
  <si>
    <t>Ellwood</t>
  </si>
  <si>
    <t>Elphinstone</t>
  </si>
  <si>
    <t>Emmerson</t>
  </si>
  <si>
    <t>English</t>
  </si>
  <si>
    <t>Ennis</t>
  </si>
  <si>
    <t>R</t>
  </si>
  <si>
    <t>Ensil</t>
  </si>
  <si>
    <t>Barry</t>
  </si>
  <si>
    <t>Ethige</t>
  </si>
  <si>
    <t>Kanishka</t>
  </si>
  <si>
    <t>Evans</t>
  </si>
  <si>
    <t>Faelis</t>
  </si>
  <si>
    <t>Dino</t>
  </si>
  <si>
    <t>Faisal</t>
  </si>
  <si>
    <t>Insaf</t>
  </si>
  <si>
    <t>Faulds</t>
  </si>
  <si>
    <t>Clay</t>
  </si>
  <si>
    <t>Felsingher</t>
  </si>
  <si>
    <t>H</t>
  </si>
  <si>
    <t>Fennell</t>
  </si>
  <si>
    <t>Fenton</t>
  </si>
  <si>
    <t>Fenwick</t>
  </si>
  <si>
    <t>Craig</t>
  </si>
  <si>
    <t>Fern</t>
  </si>
  <si>
    <t>Larry</t>
  </si>
  <si>
    <t>Fernandes</t>
  </si>
  <si>
    <t>Dwayne</t>
  </si>
  <si>
    <t>Fernandez</t>
  </si>
  <si>
    <t>Fernando</t>
  </si>
  <si>
    <t>Ash</t>
  </si>
  <si>
    <t>Damien</t>
  </si>
  <si>
    <t>Irusha</t>
  </si>
  <si>
    <t>Jonathan</t>
  </si>
  <si>
    <t>kushal</t>
  </si>
  <si>
    <t>Manosh</t>
  </si>
  <si>
    <t>Rasindu</t>
  </si>
  <si>
    <t>Shanilka</t>
  </si>
  <si>
    <t>Ferreira</t>
  </si>
  <si>
    <t>Fewster</t>
  </si>
  <si>
    <t>Firth</t>
  </si>
  <si>
    <t>B</t>
  </si>
  <si>
    <t>Fisher</t>
  </si>
  <si>
    <t>Hadleigh</t>
  </si>
  <si>
    <t>Noah</t>
  </si>
  <si>
    <t>Flanagan</t>
  </si>
  <si>
    <t>Darcy</t>
  </si>
  <si>
    <t>Fletcher</t>
  </si>
  <si>
    <t>Flintoff</t>
  </si>
  <si>
    <t>Foenander</t>
  </si>
  <si>
    <t xml:space="preserve">W </t>
  </si>
  <si>
    <t>Fonseka</t>
  </si>
  <si>
    <t>Arjuna</t>
  </si>
  <si>
    <t>Prabath</t>
  </si>
  <si>
    <t>Forrest</t>
  </si>
  <si>
    <t>Anthony</t>
  </si>
  <si>
    <t>Forrester</t>
  </si>
  <si>
    <t>Foster</t>
  </si>
  <si>
    <t>Fourie</t>
  </si>
  <si>
    <t>Pierre</t>
  </si>
  <si>
    <t>Fraser</t>
  </si>
  <si>
    <t>Funder</t>
  </si>
  <si>
    <t>Fung</t>
  </si>
  <si>
    <t>Edwin</t>
  </si>
  <si>
    <t>Furniss</t>
  </si>
  <si>
    <t>Gadde</t>
  </si>
  <si>
    <t>Rohan</t>
  </si>
  <si>
    <t>Gajadeep</t>
  </si>
  <si>
    <t>Pasan</t>
  </si>
  <si>
    <t>Galahitiyawa</t>
  </si>
  <si>
    <t>Nimentha</t>
  </si>
  <si>
    <t>Galli</t>
  </si>
  <si>
    <t>Gamage</t>
  </si>
  <si>
    <t>Hiran</t>
  </si>
  <si>
    <t>Gammampila</t>
  </si>
  <si>
    <t>Thaz</t>
  </si>
  <si>
    <t>Gandhi</t>
  </si>
  <si>
    <t>Saagar</t>
  </si>
  <si>
    <t>Gannon</t>
  </si>
  <si>
    <t>Geoffrey</t>
  </si>
  <si>
    <t>Kevin</t>
  </si>
  <si>
    <t>Ganser</t>
  </si>
  <si>
    <t>Asha</t>
  </si>
  <si>
    <t>Ganshena</t>
  </si>
  <si>
    <t>Praba</t>
  </si>
  <si>
    <t>Germanches</t>
  </si>
  <si>
    <t>Germano</t>
  </si>
  <si>
    <t>Peppi</t>
  </si>
  <si>
    <t>Gilder</t>
  </si>
  <si>
    <t>Gill</t>
  </si>
  <si>
    <t>Kabir</t>
  </si>
  <si>
    <t>Gillespie</t>
  </si>
  <si>
    <t>Gilling</t>
  </si>
  <si>
    <t>Gilmore</t>
  </si>
  <si>
    <t>Gipps</t>
  </si>
  <si>
    <t>Graham</t>
  </si>
  <si>
    <t>Gladman</t>
  </si>
  <si>
    <t>Gleeson</t>
  </si>
  <si>
    <t>Lachlan</t>
  </si>
  <si>
    <t>Vincent</t>
  </si>
  <si>
    <t>Goldsmith</t>
  </si>
  <si>
    <t>Duncan</t>
  </si>
  <si>
    <t>Gomme</t>
  </si>
  <si>
    <t>Good</t>
  </si>
  <si>
    <t>Goonetilleke</t>
  </si>
  <si>
    <t>Ishan</t>
  </si>
  <si>
    <t>Govinnage</t>
  </si>
  <si>
    <t>Sithara</t>
  </si>
  <si>
    <t>Grande</t>
  </si>
  <si>
    <t>Marcus</t>
  </si>
  <si>
    <t>Grech</t>
  </si>
  <si>
    <t>Gregory</t>
  </si>
  <si>
    <t>Lance</t>
  </si>
  <si>
    <t>Gretch</t>
  </si>
  <si>
    <t>Griffiths</t>
  </si>
  <si>
    <t>Lee</t>
  </si>
  <si>
    <t>Grima</t>
  </si>
  <si>
    <t>Grimshaw</t>
  </si>
  <si>
    <t>Grootobbink</t>
  </si>
  <si>
    <t>Henry</t>
  </si>
  <si>
    <t>Grossman</t>
  </si>
  <si>
    <t>Growcott</t>
  </si>
  <si>
    <t>Gularita</t>
  </si>
  <si>
    <t>Asanka</t>
  </si>
  <si>
    <t>Gunathunga</t>
  </si>
  <si>
    <t>Shashika</t>
  </si>
  <si>
    <t>Gunawardhana</t>
  </si>
  <si>
    <t>Nuwan</t>
  </si>
  <si>
    <t>Guneratne</t>
  </si>
  <si>
    <t>Anil</t>
  </si>
  <si>
    <t>Gupta</t>
  </si>
  <si>
    <t>Pulkit</t>
  </si>
  <si>
    <t xml:space="preserve">S </t>
  </si>
  <si>
    <t>Gurry</t>
  </si>
  <si>
    <t>Guruge</t>
  </si>
  <si>
    <t>Prasantha</t>
  </si>
  <si>
    <t>Gurushina</t>
  </si>
  <si>
    <t>Hadagallagae</t>
  </si>
  <si>
    <t>Ruchith</t>
  </si>
  <si>
    <t>Hadley</t>
  </si>
  <si>
    <t>Halbish</t>
  </si>
  <si>
    <t>Phil</t>
  </si>
  <si>
    <t>Hamer</t>
  </si>
  <si>
    <t>Hancock</t>
  </si>
  <si>
    <t>Bryan</t>
  </si>
  <si>
    <t>Hansen</t>
  </si>
  <si>
    <t>Harper</t>
  </si>
  <si>
    <t>Keegan</t>
  </si>
  <si>
    <t>Kieran</t>
  </si>
  <si>
    <t>Harrington</t>
  </si>
  <si>
    <t>Harris</t>
  </si>
  <si>
    <t>Billy</t>
  </si>
  <si>
    <t>Hartnell</t>
  </si>
  <si>
    <t>Harvey</t>
  </si>
  <si>
    <t>Brock</t>
  </si>
  <si>
    <t>Hawley</t>
  </si>
  <si>
    <t>Head</t>
  </si>
  <si>
    <t>Heal</t>
  </si>
  <si>
    <t>Geoff</t>
  </si>
  <si>
    <t>Heenatigala</t>
  </si>
  <si>
    <t>Sajeewa</t>
  </si>
  <si>
    <t>Henderson</t>
  </si>
  <si>
    <t>Ravi</t>
  </si>
  <si>
    <t>Sebastian</t>
  </si>
  <si>
    <t>Hendry</t>
  </si>
  <si>
    <t>Henley</t>
  </si>
  <si>
    <t>Herath</t>
  </si>
  <si>
    <t>Lahiru</t>
  </si>
  <si>
    <t>Hewasiribaddana</t>
  </si>
  <si>
    <t>Heshan</t>
  </si>
  <si>
    <t>Hewavisse</t>
  </si>
  <si>
    <t>W</t>
  </si>
  <si>
    <t>Hewavitharane</t>
  </si>
  <si>
    <t>Deran</t>
  </si>
  <si>
    <t>Hicks</t>
  </si>
  <si>
    <t>Hiho</t>
  </si>
  <si>
    <t>Hill</t>
  </si>
  <si>
    <t>Hollingworth</t>
  </si>
  <si>
    <t>Holt</t>
  </si>
  <si>
    <t>Stuart</t>
  </si>
  <si>
    <t>Holzer</t>
  </si>
  <si>
    <t>Terry</t>
  </si>
  <si>
    <t>Hon</t>
  </si>
  <si>
    <t>Honey</t>
  </si>
  <si>
    <t>Hope</t>
  </si>
  <si>
    <t>Callum</t>
  </si>
  <si>
    <t>Horsfall</t>
  </si>
  <si>
    <t>P</t>
  </si>
  <si>
    <t>Hough</t>
  </si>
  <si>
    <t>Housego</t>
  </si>
  <si>
    <t>Howell</t>
  </si>
  <si>
    <t>Clayton</t>
  </si>
  <si>
    <t>Cohen</t>
  </si>
  <si>
    <t>Hudson</t>
  </si>
  <si>
    <t>Hughes</t>
  </si>
  <si>
    <t>Hutchins</t>
  </si>
  <si>
    <t>Huther</t>
  </si>
  <si>
    <t>Robbie</t>
  </si>
  <si>
    <t>Inglis</t>
  </si>
  <si>
    <t>Riley</t>
  </si>
  <si>
    <t>Ingram</t>
  </si>
  <si>
    <t>Doug</t>
  </si>
  <si>
    <t>Liam</t>
  </si>
  <si>
    <t>Iqbal</t>
  </si>
  <si>
    <t>Irvine</t>
  </si>
  <si>
    <t>Ivanovich</t>
  </si>
  <si>
    <t>Dusan</t>
  </si>
  <si>
    <t>Jackson</t>
  </si>
  <si>
    <t>Jacotine</t>
  </si>
  <si>
    <t>Jamieson</t>
  </si>
  <si>
    <t>Shaun</t>
  </si>
  <si>
    <t>Troy</t>
  </si>
  <si>
    <t>Janeczko-Taylor</t>
  </si>
  <si>
    <t>Ethan</t>
  </si>
  <si>
    <t>Jansons</t>
  </si>
  <si>
    <t>Jay</t>
  </si>
  <si>
    <t>Pansi</t>
  </si>
  <si>
    <t>Jayalath</t>
  </si>
  <si>
    <t>Dian</t>
  </si>
  <si>
    <t>Jayamuni</t>
  </si>
  <si>
    <t>Dinuka</t>
  </si>
  <si>
    <t>Jayasingha</t>
  </si>
  <si>
    <t>Menaka</t>
  </si>
  <si>
    <t>Jayasinghe</t>
  </si>
  <si>
    <t>Jayasinhe</t>
  </si>
  <si>
    <t>Kaveesh</t>
  </si>
  <si>
    <t>Jayatilave</t>
  </si>
  <si>
    <t>Jenkins</t>
  </si>
  <si>
    <t>Johnson</t>
  </si>
  <si>
    <t>Garry</t>
  </si>
  <si>
    <t>Johnston</t>
  </si>
  <si>
    <t xml:space="preserve">A </t>
  </si>
  <si>
    <t>Johnstone</t>
  </si>
  <si>
    <t>Jones</t>
  </si>
  <si>
    <t>Trevor</t>
  </si>
  <si>
    <t>Joseph</t>
  </si>
  <si>
    <t>Kaluthanthri</t>
  </si>
  <si>
    <t>Chamil</t>
  </si>
  <si>
    <t>Chathura</t>
  </si>
  <si>
    <t>Kamalanandan</t>
  </si>
  <si>
    <t>Raam</t>
  </si>
  <si>
    <t>Kamath</t>
  </si>
  <si>
    <t>Kankanige</t>
  </si>
  <si>
    <t>Udhara</t>
  </si>
  <si>
    <t>Kanthalingam</t>
  </si>
  <si>
    <t>Kapalua</t>
  </si>
  <si>
    <t>Rahul</t>
  </si>
  <si>
    <t>Kaye</t>
  </si>
  <si>
    <t>Keenan</t>
  </si>
  <si>
    <t>William</t>
  </si>
  <si>
    <t>Kelaart</t>
  </si>
  <si>
    <t>Kelly</t>
  </si>
  <si>
    <t>Brandt</t>
  </si>
  <si>
    <t>Kennedy</t>
  </si>
  <si>
    <t>Kester</t>
  </si>
  <si>
    <t>Keyt</t>
  </si>
  <si>
    <t>Ralston</t>
  </si>
  <si>
    <t>Khan</t>
  </si>
  <si>
    <t>Adil</t>
  </si>
  <si>
    <t>Kiantos</t>
  </si>
  <si>
    <t>Arthur</t>
  </si>
  <si>
    <t>King</t>
  </si>
  <si>
    <t>Knight</t>
  </si>
  <si>
    <t>Krahe</t>
  </si>
  <si>
    <t>Krall</t>
  </si>
  <si>
    <t>Kulathnge</t>
  </si>
  <si>
    <t>Hashantu</t>
  </si>
  <si>
    <t>Janaka</t>
  </si>
  <si>
    <t>Kumarasinghe</t>
  </si>
  <si>
    <t>Nadeesha</t>
  </si>
  <si>
    <t>Kuruppu Arachchi</t>
  </si>
  <si>
    <t>Ishen</t>
  </si>
  <si>
    <t>Labrooy</t>
  </si>
  <si>
    <t>Chuck</t>
  </si>
  <si>
    <t>Ladd</t>
  </si>
  <si>
    <t>Ladner</t>
  </si>
  <si>
    <t>Lakshman</t>
  </si>
  <si>
    <t>Lamba</t>
  </si>
  <si>
    <t>Dilpreet</t>
  </si>
  <si>
    <t>Langford</t>
  </si>
  <si>
    <t>Laporte</t>
  </si>
  <si>
    <t>Lapthorne</t>
  </si>
  <si>
    <t>Larney</t>
  </si>
  <si>
    <t>Laycock</t>
  </si>
  <si>
    <t>LeBrocq</t>
  </si>
  <si>
    <t>Dale</t>
  </si>
  <si>
    <t>Leeson</t>
  </si>
  <si>
    <t>LeGros</t>
  </si>
  <si>
    <t>Leitch</t>
  </si>
  <si>
    <t>Lester</t>
  </si>
  <si>
    <t>Levens</t>
  </si>
  <si>
    <t>Lewis</t>
  </si>
  <si>
    <t>Alan</t>
  </si>
  <si>
    <t>Lewison</t>
  </si>
  <si>
    <t>Li</t>
  </si>
  <si>
    <t>Lieu</t>
  </si>
  <si>
    <t>Linton</t>
  </si>
  <si>
    <t>Liyanage</t>
  </si>
  <si>
    <t>Mohan</t>
  </si>
  <si>
    <t>Lobb</t>
  </si>
  <si>
    <t>Colin</t>
  </si>
  <si>
    <t>Lombardo</t>
  </si>
  <si>
    <t>Loth</t>
  </si>
  <si>
    <t>Loughnan</t>
  </si>
  <si>
    <t>Brenton</t>
  </si>
  <si>
    <t>Lovitt</t>
  </si>
  <si>
    <t>Lowrie</t>
  </si>
  <si>
    <t>Heath</t>
  </si>
  <si>
    <t>Lu</t>
  </si>
  <si>
    <t>Raymond</t>
  </si>
  <si>
    <t>Lyon</t>
  </si>
  <si>
    <t>MacDonald</t>
  </si>
  <si>
    <t>Mack</t>
  </si>
  <si>
    <t>Monty</t>
  </si>
  <si>
    <t>Macleod</t>
  </si>
  <si>
    <t>Charlie</t>
  </si>
  <si>
    <t>Noel</t>
  </si>
  <si>
    <t>Madden</t>
  </si>
  <si>
    <t>Maddumaage</t>
  </si>
  <si>
    <t>Tharindu</t>
  </si>
  <si>
    <t>Madurasinghe</t>
  </si>
  <si>
    <t>Mahalingam</t>
  </si>
  <si>
    <t>Kiruthap</t>
  </si>
  <si>
    <t>Mahatheva</t>
  </si>
  <si>
    <t>Myran</t>
  </si>
  <si>
    <t>Mahendran</t>
  </si>
  <si>
    <t>Jegan</t>
  </si>
  <si>
    <t>Mainwaring</t>
  </si>
  <si>
    <t>Ewan</t>
  </si>
  <si>
    <t>Maitland</t>
  </si>
  <si>
    <t>Malagala</t>
  </si>
  <si>
    <t>Gahan</t>
  </si>
  <si>
    <t>Malalasekera</t>
  </si>
  <si>
    <t>Dishan</t>
  </si>
  <si>
    <t>Mallikarachchige</t>
  </si>
  <si>
    <t>Ravindu</t>
  </si>
  <si>
    <t>Mand</t>
  </si>
  <si>
    <t>Mangalanathan</t>
  </si>
  <si>
    <t>Rajeev</t>
  </si>
  <si>
    <t>March</t>
  </si>
  <si>
    <t>Martin</t>
  </si>
  <si>
    <t>Matharu</t>
  </si>
  <si>
    <t>Hashpal</t>
  </si>
  <si>
    <t>Matthews</t>
  </si>
  <si>
    <t>Matthewson</t>
  </si>
  <si>
    <t>Mayadunne</t>
  </si>
  <si>
    <t>Emmal</t>
  </si>
  <si>
    <t>McAuley</t>
  </si>
  <si>
    <t>McCamley</t>
  </si>
  <si>
    <t>McCorkell</t>
  </si>
  <si>
    <t>McCoy</t>
  </si>
  <si>
    <t>McCusker</t>
  </si>
  <si>
    <t>McDermott</t>
  </si>
  <si>
    <t>McDonald</t>
  </si>
  <si>
    <t>McInnes</t>
  </si>
  <si>
    <t>McKnoulty</t>
  </si>
  <si>
    <t>McLean</t>
  </si>
  <si>
    <t>McMillan</t>
  </si>
  <si>
    <t>McNeillie</t>
  </si>
  <si>
    <t>McRedmond</t>
  </si>
  <si>
    <t>Meggs</t>
  </si>
  <si>
    <t>Mehegan</t>
  </si>
  <si>
    <t>Mendisque</t>
  </si>
  <si>
    <t>Sulakshan</t>
  </si>
  <si>
    <t>Menon</t>
  </si>
  <si>
    <t>Mesthri</t>
  </si>
  <si>
    <t>Charuka</t>
  </si>
  <si>
    <t>Metherall</t>
  </si>
  <si>
    <t>Milano</t>
  </si>
  <si>
    <t>Mills</t>
  </si>
  <si>
    <t>Minter</t>
  </si>
  <si>
    <t>Miodoszewski</t>
  </si>
  <si>
    <t>Mitchell</t>
  </si>
  <si>
    <t>Ross</t>
  </si>
  <si>
    <t>Mitsianis</t>
  </si>
  <si>
    <t>Mollica</t>
  </si>
  <si>
    <t>Monga</t>
  </si>
  <si>
    <t>Moon</t>
  </si>
  <si>
    <t>Moore</t>
  </si>
  <si>
    <t>Morgan</t>
  </si>
  <si>
    <t>Shannon</t>
  </si>
  <si>
    <t>Morley</t>
  </si>
  <si>
    <t>Morris</t>
  </si>
  <si>
    <t>Joshua</t>
  </si>
  <si>
    <t>Morrison</t>
  </si>
  <si>
    <t>Mortimer</t>
  </si>
  <si>
    <t>Morton</t>
  </si>
  <si>
    <t>Muccitelli</t>
  </si>
  <si>
    <t>Muckian</t>
  </si>
  <si>
    <t>Gavin</t>
  </si>
  <si>
    <t>Muniandy</t>
  </si>
  <si>
    <t>Krishna</t>
  </si>
  <si>
    <t>Murphy</t>
  </si>
  <si>
    <t>Murray</t>
  </si>
  <si>
    <t>Murtha</t>
  </si>
  <si>
    <t>Muruga</t>
  </si>
  <si>
    <t>Vatson</t>
  </si>
  <si>
    <t>Muscat</t>
  </si>
  <si>
    <t>Phillip</t>
  </si>
  <si>
    <t>Mutumuni</t>
  </si>
  <si>
    <t>Dillan</t>
  </si>
  <si>
    <t>Nadarajah</t>
  </si>
  <si>
    <t>Abeshek</t>
  </si>
  <si>
    <t>Nash</t>
  </si>
  <si>
    <t>Nathanielsz</t>
  </si>
  <si>
    <t>Dion</t>
  </si>
  <si>
    <t>Hans</t>
  </si>
  <si>
    <t>Natoli</t>
  </si>
  <si>
    <t>Navaratnam</t>
  </si>
  <si>
    <t>Suresh</t>
  </si>
  <si>
    <t>Nawalage</t>
  </si>
  <si>
    <t>Neill</t>
  </si>
  <si>
    <t>Nelson</t>
  </si>
  <si>
    <t>Neville</t>
  </si>
  <si>
    <t>Ng</t>
  </si>
  <si>
    <t>Benjamin</t>
  </si>
  <si>
    <t>Jeremy</t>
  </si>
  <si>
    <t>Nichol</t>
  </si>
  <si>
    <t>Nicol</t>
  </si>
  <si>
    <t>Nicola</t>
  </si>
  <si>
    <t>Nicotera</t>
  </si>
  <si>
    <t>Noon</t>
  </si>
  <si>
    <t>Nowland</t>
  </si>
  <si>
    <t>O'Brien</t>
  </si>
  <si>
    <t>O'Connor</t>
  </si>
  <si>
    <t>O'Hare</t>
  </si>
  <si>
    <t>O'Keefe</t>
  </si>
  <si>
    <t>O'Neill</t>
  </si>
  <si>
    <t>Onley</t>
  </si>
  <si>
    <t>Pabst</t>
  </si>
  <si>
    <t>Pagliaro</t>
  </si>
  <si>
    <t>Vince</t>
  </si>
  <si>
    <t>Pahor</t>
  </si>
  <si>
    <t>Palamara</t>
  </si>
  <si>
    <t>Pargaliti</t>
  </si>
  <si>
    <t>Parker</t>
  </si>
  <si>
    <t>Pasquill</t>
  </si>
  <si>
    <t>Patel</t>
  </si>
  <si>
    <t>Dilan</t>
  </si>
  <si>
    <t>Kunjan</t>
  </si>
  <si>
    <t>Pathmajeewa</t>
  </si>
  <si>
    <t>Latheson</t>
  </si>
  <si>
    <t>Patterson</t>
  </si>
  <si>
    <t>Pavsic</t>
  </si>
  <si>
    <t>Payne</t>
  </si>
  <si>
    <t>Payroli</t>
  </si>
  <si>
    <t>Pearson</t>
  </si>
  <si>
    <t>Pereira</t>
  </si>
  <si>
    <t>Alistair</t>
  </si>
  <si>
    <t>J</t>
  </si>
  <si>
    <t>Kurt</t>
  </si>
  <si>
    <t>N</t>
  </si>
  <si>
    <t>Naresh</t>
  </si>
  <si>
    <t>Y</t>
  </si>
  <si>
    <t>Perera</t>
  </si>
  <si>
    <t>Kusal</t>
  </si>
  <si>
    <t>Lasantha</t>
  </si>
  <si>
    <t>Malin</t>
  </si>
  <si>
    <t>Naveen</t>
  </si>
  <si>
    <t>Pramod</t>
  </si>
  <si>
    <t>Rukshan</t>
  </si>
  <si>
    <t>Ruvan</t>
  </si>
  <si>
    <t>Sachintha</t>
  </si>
  <si>
    <t>Sudish</t>
  </si>
  <si>
    <t>Suwin</t>
  </si>
  <si>
    <t>Thilina</t>
  </si>
  <si>
    <t>Vidura</t>
  </si>
  <si>
    <t>Perman</t>
  </si>
  <si>
    <t>Perri</t>
  </si>
  <si>
    <t>Franco</t>
  </si>
  <si>
    <t>Perumal</t>
  </si>
  <si>
    <t>Wendal</t>
  </si>
  <si>
    <t>Petch</t>
  </si>
  <si>
    <t>Peters</t>
  </si>
  <si>
    <t>Petronic</t>
  </si>
  <si>
    <t>Thomas</t>
  </si>
  <si>
    <t>Petter</t>
  </si>
  <si>
    <t>Bernie</t>
  </si>
  <si>
    <t>Phillips</t>
  </si>
  <si>
    <t>Podger</t>
  </si>
  <si>
    <t>Pollard</t>
  </si>
  <si>
    <t>Ponrasa</t>
  </si>
  <si>
    <t>Rajeevan</t>
  </si>
  <si>
    <t>Porta</t>
  </si>
  <si>
    <t>Powell</t>
  </si>
  <si>
    <t>Price</t>
  </si>
  <si>
    <t>Prince</t>
  </si>
  <si>
    <t>Procter</t>
  </si>
  <si>
    <t>Prosser</t>
  </si>
  <si>
    <t>Pryor</t>
  </si>
  <si>
    <t>Pullenayegam</t>
  </si>
  <si>
    <t>Purdham</t>
  </si>
  <si>
    <t>Neil</t>
  </si>
  <si>
    <t>Purdie</t>
  </si>
  <si>
    <t>Quinn</t>
  </si>
  <si>
    <t>Rahman</t>
  </si>
  <si>
    <t>Farhan</t>
  </si>
  <si>
    <t>Raine</t>
  </si>
  <si>
    <t>Rajagopal</t>
  </si>
  <si>
    <t>Prabhakar</t>
  </si>
  <si>
    <t>Rajamanthri</t>
  </si>
  <si>
    <t>Kalindu</t>
  </si>
  <si>
    <t>Rajapakse</t>
  </si>
  <si>
    <t>Thivanka</t>
  </si>
  <si>
    <t>Rajaratnam</t>
  </si>
  <si>
    <t>Prashath</t>
  </si>
  <si>
    <t>Rajendran</t>
  </si>
  <si>
    <t>Lakshmi</t>
  </si>
  <si>
    <t>Rajkumer</t>
  </si>
  <si>
    <t>Carl</t>
  </si>
  <si>
    <t>Ranasinghe</t>
  </si>
  <si>
    <t>Ranjan</t>
  </si>
  <si>
    <t>Ranton</t>
  </si>
  <si>
    <t>Rao</t>
  </si>
  <si>
    <t>Dilip</t>
  </si>
  <si>
    <t>Charitha</t>
  </si>
  <si>
    <t>Ravavarapu</t>
  </si>
  <si>
    <t>Aditya</t>
  </si>
  <si>
    <t>Rayner</t>
  </si>
  <si>
    <t>Tyson</t>
  </si>
  <si>
    <t>Razak</t>
  </si>
  <si>
    <t>Rebecchi</t>
  </si>
  <si>
    <t>Redpath</t>
  </si>
  <si>
    <t>Reynolds</t>
  </si>
  <si>
    <t>Ricardo</t>
  </si>
  <si>
    <t>Rice</t>
  </si>
  <si>
    <t>Richards</t>
  </si>
  <si>
    <t>Richardson</t>
  </si>
  <si>
    <t>Chad</t>
  </si>
  <si>
    <t>Ritchie</t>
  </si>
  <si>
    <t>Robb</t>
  </si>
  <si>
    <t>Roberts</t>
  </si>
  <si>
    <t>Jordie</t>
  </si>
  <si>
    <t>Robertson</t>
  </si>
  <si>
    <t>Rodie</t>
  </si>
  <si>
    <t>Rojo</t>
  </si>
  <si>
    <t>Rosario</t>
  </si>
  <si>
    <t>Rose</t>
  </si>
  <si>
    <t>Rouskas</t>
  </si>
  <si>
    <t>Mike</t>
  </si>
  <si>
    <t>Rupasinghe</t>
  </si>
  <si>
    <t>Samuel</t>
  </si>
  <si>
    <t>Rutherford</t>
  </si>
  <si>
    <t>Sabljak</t>
  </si>
  <si>
    <t>Anton</t>
  </si>
  <si>
    <t>Sadath</t>
  </si>
  <si>
    <t>Bilal</t>
  </si>
  <si>
    <t>Saluja</t>
  </si>
  <si>
    <t>Yogesh</t>
  </si>
  <si>
    <t>Samarasinghe</t>
  </si>
  <si>
    <t>Lashan</t>
  </si>
  <si>
    <t>Thumujaya</t>
  </si>
  <si>
    <t>Sameera</t>
  </si>
  <si>
    <t>Prasad</t>
  </si>
  <si>
    <t>Chanaka</t>
  </si>
  <si>
    <t>Samsoodeen</t>
  </si>
  <si>
    <t>Nizam</t>
  </si>
  <si>
    <t>Victor</t>
  </si>
  <si>
    <t>Sanders</t>
  </si>
  <si>
    <t>Sannadurai</t>
  </si>
  <si>
    <t>Saures</t>
  </si>
  <si>
    <t>Saw</t>
  </si>
  <si>
    <t>Scash</t>
  </si>
  <si>
    <t>Scerri</t>
  </si>
  <si>
    <t>Schleuscener</t>
  </si>
  <si>
    <t>Schonewille</t>
  </si>
  <si>
    <t>Schubert</t>
  </si>
  <si>
    <t>Searle</t>
  </si>
  <si>
    <t>Senaviratna</t>
  </si>
  <si>
    <t>Seneviratne</t>
  </si>
  <si>
    <t>Gehan</t>
  </si>
  <si>
    <t>Sethi</t>
  </si>
  <si>
    <t>Bishm</t>
  </si>
  <si>
    <t>Sharp</t>
  </si>
  <si>
    <t xml:space="preserve">Sharp </t>
  </si>
  <si>
    <t>Sharpe</t>
  </si>
  <si>
    <t>Shaw</t>
  </si>
  <si>
    <t>Shingles</t>
  </si>
  <si>
    <t>Shutie</t>
  </si>
  <si>
    <t>Sidhu</t>
  </si>
  <si>
    <t>Jamie</t>
  </si>
  <si>
    <t>Silva</t>
  </si>
  <si>
    <t>Lang</t>
  </si>
  <si>
    <t>Silverii</t>
  </si>
  <si>
    <t>Simmons</t>
  </si>
  <si>
    <t>Cedric</t>
  </si>
  <si>
    <t>Singh</t>
  </si>
  <si>
    <t>Manrick</t>
  </si>
  <si>
    <t>Rishupal</t>
  </si>
  <si>
    <t>Sinha</t>
  </si>
  <si>
    <t>Bhaskar</t>
  </si>
  <si>
    <t>Shekar</t>
  </si>
  <si>
    <t>Sivakumaran Fernandu</t>
  </si>
  <si>
    <t>Satheesh</t>
  </si>
  <si>
    <t>Sivatnanam</t>
  </si>
  <si>
    <t>Thinesh</t>
  </si>
  <si>
    <t>Skelton</t>
  </si>
  <si>
    <t>Slacik</t>
  </si>
  <si>
    <t>Slack</t>
  </si>
  <si>
    <t>Sloane</t>
  </si>
  <si>
    <t>Smimis-Parra</t>
  </si>
  <si>
    <t>Smith</t>
  </si>
  <si>
    <t>Smrcek</t>
  </si>
  <si>
    <t>Solomans</t>
  </si>
  <si>
    <t>Curk</t>
  </si>
  <si>
    <t>Somadatta</t>
  </si>
  <si>
    <t>Demuni</t>
  </si>
  <si>
    <t>Somaratne</t>
  </si>
  <si>
    <t>Southall</t>
  </si>
  <si>
    <t>Spain</t>
  </si>
  <si>
    <t>Spear</t>
  </si>
  <si>
    <t>Sproules</t>
  </si>
  <si>
    <t>Steen</t>
  </si>
  <si>
    <t>Stefanic</t>
  </si>
  <si>
    <t>Dinko</t>
  </si>
  <si>
    <t>Stephens</t>
  </si>
  <si>
    <t>Stevenson</t>
  </si>
  <si>
    <t>Shaunn</t>
  </si>
  <si>
    <t>Stoikos</t>
  </si>
  <si>
    <t>Stoneman</t>
  </si>
  <si>
    <t>Stones</t>
  </si>
  <si>
    <t>Strahan</t>
  </si>
  <si>
    <t>steven</t>
  </si>
  <si>
    <t>Street</t>
  </si>
  <si>
    <t>Stretton</t>
  </si>
  <si>
    <t>Stringer</t>
  </si>
  <si>
    <t>Styles</t>
  </si>
  <si>
    <t>Suckling</t>
  </si>
  <si>
    <t>Sultani</t>
  </si>
  <si>
    <t>Omar</t>
  </si>
  <si>
    <t>Sunilchandra</t>
  </si>
  <si>
    <t>Pasindu</t>
  </si>
  <si>
    <t>Suntharamoorthy</t>
  </si>
  <si>
    <t>Deleepan</t>
  </si>
  <si>
    <t>Suwarnajeev</t>
  </si>
  <si>
    <t>Tharmakulasingam</t>
  </si>
  <si>
    <t>Swale</t>
  </si>
  <si>
    <t>Sykes</t>
  </si>
  <si>
    <t>Symonds</t>
  </si>
  <si>
    <t>Ossie</t>
  </si>
  <si>
    <t>Taneja</t>
  </si>
  <si>
    <t>Luksha</t>
  </si>
  <si>
    <t>Taylor</t>
  </si>
  <si>
    <t>Jesse</t>
  </si>
  <si>
    <t>Stan</t>
  </si>
  <si>
    <t>Tchilinguirian</t>
  </si>
  <si>
    <t>Vauan</t>
  </si>
  <si>
    <t>Tetley</t>
  </si>
  <si>
    <t>Thanabalasingham</t>
  </si>
  <si>
    <t>Thusan</t>
  </si>
  <si>
    <t>Rees</t>
  </si>
  <si>
    <t>Thorpe</t>
  </si>
  <si>
    <t>Jayden</t>
  </si>
  <si>
    <t>Tiong</t>
  </si>
  <si>
    <t>Tolliday</t>
  </si>
  <si>
    <t>Tolmie</t>
  </si>
  <si>
    <t>Toole</t>
  </si>
  <si>
    <t>Traplin</t>
  </si>
  <si>
    <t>Travaglia</t>
  </si>
  <si>
    <t>Tunnicliffe</t>
  </si>
  <si>
    <t>Unantenne</t>
  </si>
  <si>
    <t>Vakeesh</t>
  </si>
  <si>
    <t>Vamadevan</t>
  </si>
  <si>
    <t>Niran</t>
  </si>
  <si>
    <t>Rukesh</t>
  </si>
  <si>
    <t>Varatharajah</t>
  </si>
  <si>
    <t>Methulan</t>
  </si>
  <si>
    <t>Varvaric</t>
  </si>
  <si>
    <t>Vazquez</t>
  </si>
  <si>
    <t>Velardo</t>
  </si>
  <si>
    <t>Vemuluri</t>
  </si>
  <si>
    <t>Venditti</t>
  </si>
  <si>
    <t>Vethican</t>
  </si>
  <si>
    <t xml:space="preserve">Pat </t>
  </si>
  <si>
    <t>Viola</t>
  </si>
  <si>
    <t>Dave</t>
  </si>
  <si>
    <t>Vithanawasam</t>
  </si>
  <si>
    <t>Waldron</t>
  </si>
  <si>
    <t>Bruce</t>
  </si>
  <si>
    <t>Wale</t>
  </si>
  <si>
    <t>Walker</t>
  </si>
  <si>
    <t>Ward</t>
  </si>
  <si>
    <t>Ware</t>
  </si>
  <si>
    <t>Warner</t>
  </si>
  <si>
    <t>Watts</t>
  </si>
  <si>
    <t>Weeratunga</t>
  </si>
  <si>
    <t>Wegmann</t>
  </si>
  <si>
    <t>West</t>
  </si>
  <si>
    <t>Weston</t>
  </si>
  <si>
    <t>White</t>
  </si>
  <si>
    <t>Whitfield</t>
  </si>
  <si>
    <t>Whyte</t>
  </si>
  <si>
    <t>Jarrah</t>
  </si>
  <si>
    <t>Wickramasinghe</t>
  </si>
  <si>
    <t>Chameera</t>
  </si>
  <si>
    <t>Yamith</t>
  </si>
  <si>
    <t>Wijayasinghe</t>
  </si>
  <si>
    <t>Sanjee</t>
  </si>
  <si>
    <t>Wijerathna</t>
  </si>
  <si>
    <t>Wijeratne</t>
  </si>
  <si>
    <t>Dulanjaya</t>
  </si>
  <si>
    <t>Wiles</t>
  </si>
  <si>
    <t>Wilkes</t>
  </si>
  <si>
    <t>Williams</t>
  </si>
  <si>
    <t>Corey</t>
  </si>
  <si>
    <t>Edward</t>
  </si>
  <si>
    <t>Williamson</t>
  </si>
  <si>
    <t>Wilsmore</t>
  </si>
  <si>
    <t>Kade</t>
  </si>
  <si>
    <t>Rhett</t>
  </si>
  <si>
    <t>Wilson</t>
  </si>
  <si>
    <t>Clint</t>
  </si>
  <si>
    <t>Ed</t>
  </si>
  <si>
    <t>Wimalasuriya</t>
  </si>
  <si>
    <t>Arguna</t>
  </si>
  <si>
    <t>Winnen</t>
  </si>
  <si>
    <t>Withers</t>
  </si>
  <si>
    <t>Wolokh</t>
  </si>
  <si>
    <t>Shakya</t>
  </si>
  <si>
    <t>Woltanski</t>
  </si>
  <si>
    <t>Wong</t>
  </si>
  <si>
    <t>Nicholas</t>
  </si>
  <si>
    <t>Wratten</t>
  </si>
  <si>
    <t>Wray</t>
  </si>
  <si>
    <t>Wright</t>
  </si>
  <si>
    <t>Yatawara</t>
  </si>
  <si>
    <t>Anurudda</t>
  </si>
  <si>
    <t>Yoffa</t>
  </si>
  <si>
    <t>Yogasingham</t>
  </si>
  <si>
    <t>Dileep</t>
  </si>
  <si>
    <t>Young</t>
  </si>
  <si>
    <t>Zagari</t>
  </si>
  <si>
    <t>Total Games Played</t>
  </si>
  <si>
    <t>1st XI Games</t>
  </si>
  <si>
    <t>2nd XI Games</t>
  </si>
  <si>
    <t>3rd XI Games</t>
  </si>
  <si>
    <t>4th XI Games</t>
  </si>
  <si>
    <t>5th XI Games</t>
  </si>
  <si>
    <t>6th XI Games</t>
  </si>
  <si>
    <t>Not Outs</t>
  </si>
  <si>
    <t>Batting Average</t>
  </si>
  <si>
    <t>50s</t>
  </si>
  <si>
    <t>100s</t>
  </si>
  <si>
    <t>DNBs</t>
  </si>
  <si>
    <t xml:space="preserve">Wickets </t>
  </si>
  <si>
    <t>BB</t>
  </si>
  <si>
    <t>Catches</t>
  </si>
  <si>
    <t>10W/M</t>
  </si>
  <si>
    <t>5W/M</t>
  </si>
  <si>
    <t>Rajakaruna</t>
  </si>
  <si>
    <t>(6/19)</t>
  </si>
  <si>
    <t>Chenutha</t>
  </si>
  <si>
    <t>(2/27)</t>
  </si>
  <si>
    <t>Rodrigo</t>
  </si>
  <si>
    <t xml:space="preserve">Sandaruwan </t>
  </si>
  <si>
    <t>Madhushanka</t>
  </si>
  <si>
    <t>Buddhika</t>
  </si>
  <si>
    <t>Jayaweera</t>
  </si>
  <si>
    <t>Ruwan</t>
  </si>
  <si>
    <t>(6/27)</t>
  </si>
  <si>
    <t>Abeykoon</t>
  </si>
  <si>
    <t>Ashen</t>
  </si>
  <si>
    <t>(5/20)</t>
  </si>
  <si>
    <t>135*</t>
  </si>
  <si>
    <t>Dilshan</t>
  </si>
  <si>
    <t>Tillakaratne</t>
  </si>
  <si>
    <t>(2/23)</t>
  </si>
  <si>
    <t>Total Batting Outs</t>
  </si>
  <si>
    <t>Total Innings</t>
  </si>
  <si>
    <t>Jardine</t>
  </si>
  <si>
    <t>(1/4)</t>
  </si>
  <si>
    <t>(4/19)</t>
  </si>
  <si>
    <t>(4/26)</t>
  </si>
  <si>
    <t>Knapper</t>
  </si>
  <si>
    <t>(3/33)</t>
  </si>
  <si>
    <t>Oxley</t>
  </si>
  <si>
    <t>(6/8)</t>
  </si>
  <si>
    <t>(4/9)</t>
  </si>
  <si>
    <t>Murugesh</t>
  </si>
  <si>
    <t>Thakshan</t>
  </si>
  <si>
    <t>(2/14)</t>
  </si>
  <si>
    <t>Jeyabalasingam</t>
  </si>
  <si>
    <t>Arooran</t>
  </si>
  <si>
    <t>Venn</t>
  </si>
  <si>
    <t>0*</t>
  </si>
  <si>
    <t>(3/47)</t>
  </si>
  <si>
    <t>(5/10)</t>
  </si>
  <si>
    <t>Rathakrishna</t>
  </si>
  <si>
    <t>77*</t>
  </si>
  <si>
    <t>(1/22)</t>
  </si>
  <si>
    <t>Gobekrishna</t>
  </si>
  <si>
    <t>(3/27)</t>
  </si>
  <si>
    <t>Ledchumanan</t>
  </si>
  <si>
    <t>Ellamurukan</t>
  </si>
  <si>
    <t>11*</t>
  </si>
  <si>
    <t>(2/8)</t>
  </si>
  <si>
    <t>Vaikundan</t>
  </si>
  <si>
    <t>Kopeeswaran</t>
  </si>
  <si>
    <t>(0/14)</t>
  </si>
  <si>
    <t>(2/24)</t>
  </si>
  <si>
    <t>Ramanayaka</t>
  </si>
  <si>
    <t>(5/32)</t>
  </si>
  <si>
    <t>Kamalamohan</t>
  </si>
  <si>
    <t>Thanusanth</t>
  </si>
  <si>
    <t>(3/22)</t>
  </si>
  <si>
    <t>Sajith</t>
  </si>
  <si>
    <t>(1/21)</t>
  </si>
  <si>
    <t>Pugalendran</t>
  </si>
  <si>
    <t>Kajenthiran</t>
  </si>
  <si>
    <t>45*</t>
  </si>
  <si>
    <t>(1/14)</t>
  </si>
  <si>
    <t>Thasusan</t>
  </si>
  <si>
    <t>Lathan</t>
  </si>
  <si>
    <t>(1/30)</t>
  </si>
  <si>
    <t>Ganeshalingham</t>
  </si>
  <si>
    <t xml:space="preserve">Krishanthan </t>
  </si>
  <si>
    <t>(2/39)</t>
  </si>
  <si>
    <t>Aravindan</t>
  </si>
  <si>
    <t>Harun</t>
  </si>
  <si>
    <t>(2/31)</t>
  </si>
  <si>
    <t>Leach</t>
  </si>
  <si>
    <t>Mathivathan</t>
  </si>
  <si>
    <t>(0/39)</t>
  </si>
  <si>
    <t>Howard</t>
  </si>
  <si>
    <t>Felix</t>
  </si>
  <si>
    <t>Akshu</t>
  </si>
  <si>
    <t>(0/10)</t>
  </si>
  <si>
    <t>87*</t>
  </si>
  <si>
    <t>(3/12)</t>
  </si>
  <si>
    <t>Navodh</t>
  </si>
  <si>
    <t>Berman</t>
  </si>
  <si>
    <t>Dulan</t>
  </si>
  <si>
    <t>(2/5)</t>
  </si>
  <si>
    <t>(4/31)</t>
  </si>
  <si>
    <t>Costa</t>
  </si>
  <si>
    <t>Hettimula</t>
  </si>
  <si>
    <t>Deluksha</t>
  </si>
  <si>
    <t>Kulatunge</t>
  </si>
  <si>
    <t>Himesha</t>
  </si>
  <si>
    <t>(3/34)</t>
  </si>
  <si>
    <t>(3/0)</t>
  </si>
  <si>
    <t>Maiolo</t>
  </si>
  <si>
    <t>(4/18)</t>
  </si>
  <si>
    <t>Kulasinghe</t>
  </si>
  <si>
    <t>Vishver</t>
  </si>
  <si>
    <t>28*</t>
  </si>
  <si>
    <t>(2/18)</t>
  </si>
  <si>
    <t>Thakur</t>
  </si>
  <si>
    <t>Sherrin</t>
  </si>
  <si>
    <t>Total Runs</t>
  </si>
  <si>
    <t>Run Outs</t>
  </si>
  <si>
    <t>Stumpings</t>
  </si>
  <si>
    <t>Total Matches</t>
  </si>
  <si>
    <t>CpM</t>
  </si>
  <si>
    <t>(3/13)</t>
  </si>
  <si>
    <t>31*</t>
  </si>
  <si>
    <t>(3/15)</t>
  </si>
  <si>
    <t>(2/16)</t>
  </si>
  <si>
    <t>(1/13)</t>
  </si>
  <si>
    <t>5*</t>
  </si>
  <si>
    <t>53*</t>
  </si>
  <si>
    <t>16*</t>
  </si>
  <si>
    <t>(1/7)</t>
  </si>
  <si>
    <t>7*</t>
  </si>
  <si>
    <t>(0/9)</t>
  </si>
  <si>
    <t>Panangala</t>
  </si>
  <si>
    <t>Jeshan</t>
  </si>
  <si>
    <t>Senanayake</t>
  </si>
  <si>
    <t>Lal</t>
  </si>
  <si>
    <t>Dodanwala</t>
  </si>
  <si>
    <t>Janindra</t>
  </si>
  <si>
    <t>(4/16)</t>
  </si>
  <si>
    <t>Joma Handige</t>
  </si>
  <si>
    <t>(1/19)</t>
  </si>
  <si>
    <t xml:space="preserve">Mudiyanselage Isuru </t>
  </si>
  <si>
    <t>Rathnayaka</t>
  </si>
  <si>
    <t>(1/20)</t>
  </si>
  <si>
    <t>Abeyeratne</t>
  </si>
  <si>
    <t>Malan</t>
  </si>
  <si>
    <t>Payagala</t>
  </si>
  <si>
    <t>Damith</t>
  </si>
  <si>
    <t>81*</t>
  </si>
  <si>
    <t>Ekanayaka</t>
  </si>
  <si>
    <t>Jeewaka</t>
  </si>
  <si>
    <t>(3/11)</t>
  </si>
  <si>
    <t>Hettithanthri</t>
  </si>
  <si>
    <t>Mihisara</t>
  </si>
  <si>
    <t>Munasinghege</t>
  </si>
  <si>
    <t>Dasun</t>
  </si>
  <si>
    <t>Weerasinghe</t>
  </si>
  <si>
    <t>Senesh</t>
  </si>
  <si>
    <t>Lakruwan</t>
  </si>
  <si>
    <t>Livera</t>
  </si>
  <si>
    <t>Jude</t>
  </si>
  <si>
    <t>(4/22)</t>
  </si>
  <si>
    <t>Gamlath</t>
  </si>
  <si>
    <t>Ishara</t>
  </si>
  <si>
    <t>Kerner</t>
  </si>
  <si>
    <t>Trevette</t>
  </si>
  <si>
    <t>120*</t>
  </si>
  <si>
    <t>Wasalathanthri</t>
  </si>
  <si>
    <t>Daniel Dennis</t>
  </si>
  <si>
    <t>Asie</t>
  </si>
  <si>
    <t>9*</t>
  </si>
  <si>
    <t>Moraes</t>
  </si>
  <si>
    <t>Perera Govinnage</t>
  </si>
  <si>
    <t>Shashika Don</t>
  </si>
  <si>
    <t>Wijesinghe</t>
  </si>
  <si>
    <t>Dulith</t>
  </si>
  <si>
    <t>(3/36)</t>
  </si>
  <si>
    <t>Taruka</t>
  </si>
  <si>
    <t>(1/24)</t>
  </si>
  <si>
    <t>(2/17)</t>
  </si>
  <si>
    <t>21*</t>
  </si>
  <si>
    <t>(4/48)</t>
  </si>
  <si>
    <t>4*</t>
  </si>
  <si>
    <t>Harley</t>
  </si>
  <si>
    <t>Archer</t>
  </si>
  <si>
    <t>Christopher</t>
  </si>
  <si>
    <t>1*</t>
  </si>
  <si>
    <t>Dimopoulos</t>
  </si>
  <si>
    <t>Palleschi</t>
  </si>
  <si>
    <t>(2/13)</t>
  </si>
  <si>
    <t>Kilgower</t>
  </si>
  <si>
    <t>Speechley</t>
  </si>
  <si>
    <t>34*</t>
  </si>
  <si>
    <t>Cappello</t>
  </si>
  <si>
    <t>Angelo</t>
  </si>
  <si>
    <t>Bouchier</t>
  </si>
  <si>
    <t>Dillon</t>
  </si>
  <si>
    <t>(5/33)</t>
  </si>
  <si>
    <t>(0/13)</t>
  </si>
  <si>
    <t>(3/14)</t>
  </si>
  <si>
    <t>50*</t>
  </si>
  <si>
    <t>(1/8)</t>
  </si>
  <si>
    <t>Mehrtens</t>
  </si>
  <si>
    <t>Zach</t>
  </si>
  <si>
    <t>McKenna</t>
  </si>
  <si>
    <t>Keith</t>
  </si>
  <si>
    <t>(0/6)</t>
  </si>
  <si>
    <t>(6/60)</t>
  </si>
  <si>
    <t>Vitharana</t>
  </si>
  <si>
    <t>90*</t>
  </si>
  <si>
    <t>Tharaka</t>
  </si>
  <si>
    <t>Harsha</t>
  </si>
  <si>
    <t>(3/43)</t>
  </si>
  <si>
    <t>51*</t>
  </si>
  <si>
    <t>Tonkin</t>
  </si>
  <si>
    <t xml:space="preserve">Total Games Played </t>
  </si>
  <si>
    <t>Name</t>
  </si>
  <si>
    <t>Games Played</t>
  </si>
  <si>
    <t xml:space="preserve">1st XI Games  </t>
  </si>
  <si>
    <t>Total Wickets</t>
  </si>
  <si>
    <t>Total Catches</t>
  </si>
  <si>
    <t>Kathesh</t>
  </si>
  <si>
    <t>Emond</t>
  </si>
  <si>
    <t>(6/18)</t>
  </si>
  <si>
    <t>Healy</t>
  </si>
  <si>
    <t>108*</t>
  </si>
  <si>
    <t>74*</t>
  </si>
  <si>
    <t>(3/6)</t>
  </si>
  <si>
    <t>(4/20)</t>
  </si>
  <si>
    <t>(3/8)</t>
  </si>
  <si>
    <t>156*</t>
  </si>
  <si>
    <t>Maharaja</t>
  </si>
  <si>
    <t>(2/10)</t>
  </si>
  <si>
    <t>(1/3)</t>
  </si>
  <si>
    <t>Mathisha</t>
  </si>
  <si>
    <t>40*</t>
  </si>
  <si>
    <t>(0/24)</t>
  </si>
  <si>
    <t>Zachary</t>
  </si>
  <si>
    <t>Seal</t>
  </si>
  <si>
    <t>20*</t>
  </si>
  <si>
    <t>(1/17)</t>
  </si>
  <si>
    <t>(4/24)</t>
  </si>
  <si>
    <t>(1/5)</t>
  </si>
  <si>
    <t>Thakare</t>
  </si>
  <si>
    <t>Meheer</t>
  </si>
  <si>
    <t>Errol</t>
  </si>
  <si>
    <t>Krispin</t>
  </si>
  <si>
    <t>Marziale</t>
  </si>
  <si>
    <t>Luca</t>
  </si>
  <si>
    <t>Sachdeva</t>
  </si>
  <si>
    <t>Himanshu</t>
  </si>
  <si>
    <t>Srivastava</t>
  </si>
  <si>
    <t>Dhruv</t>
  </si>
  <si>
    <t>Mann</t>
  </si>
  <si>
    <t>(3/20)</t>
  </si>
  <si>
    <t>Mukherjee</t>
  </si>
  <si>
    <t>Sourav</t>
  </si>
  <si>
    <t>Vellis</t>
  </si>
  <si>
    <t>Lucas</t>
  </si>
  <si>
    <t>111*</t>
  </si>
  <si>
    <t>72*</t>
  </si>
  <si>
    <t>(2/12)</t>
  </si>
  <si>
    <t>(3/5)</t>
  </si>
  <si>
    <t>75*</t>
  </si>
  <si>
    <t>102*</t>
  </si>
  <si>
    <t>Mcphee</t>
  </si>
  <si>
    <t>Harrison</t>
  </si>
  <si>
    <t>(4/37)</t>
  </si>
  <si>
    <t>66*</t>
  </si>
  <si>
    <t>(4/29)</t>
  </si>
  <si>
    <t>Zac</t>
  </si>
  <si>
    <t>Allman</t>
  </si>
  <si>
    <t>Jai</t>
  </si>
  <si>
    <t>Wilkinson</t>
  </si>
  <si>
    <t>(2/9)</t>
  </si>
  <si>
    <t>Jangir</t>
  </si>
  <si>
    <t>Ram</t>
  </si>
  <si>
    <t>148*</t>
  </si>
  <si>
    <t>Senavirathne</t>
  </si>
  <si>
    <t>Gihan</t>
  </si>
  <si>
    <t>(4/32)</t>
  </si>
  <si>
    <t>Klemm</t>
  </si>
  <si>
    <t>Jaufer</t>
  </si>
  <si>
    <t>Ilham</t>
  </si>
  <si>
    <t>(5/21)</t>
  </si>
  <si>
    <t>Beaumont</t>
  </si>
  <si>
    <t>(3/4)</t>
  </si>
  <si>
    <t>Asif</t>
  </si>
  <si>
    <t>Atif</t>
  </si>
  <si>
    <t>91*</t>
  </si>
  <si>
    <t>101*</t>
  </si>
  <si>
    <t>Yousuf</t>
  </si>
  <si>
    <t>Yaqub</t>
  </si>
  <si>
    <t>Liyanapathirana</t>
  </si>
  <si>
    <t>Upek</t>
  </si>
  <si>
    <t>(5/11)</t>
  </si>
  <si>
    <t>105*</t>
  </si>
  <si>
    <t>(4/14)</t>
  </si>
  <si>
    <t>(3/9)</t>
  </si>
  <si>
    <t>Rathnayake</t>
  </si>
  <si>
    <t>68*</t>
  </si>
  <si>
    <t>52*</t>
  </si>
  <si>
    <t>Belbin</t>
  </si>
  <si>
    <t>Manson</t>
  </si>
  <si>
    <t>Wanigasekara</t>
  </si>
  <si>
    <t>Niroshan</t>
  </si>
  <si>
    <t>(2/38)</t>
  </si>
  <si>
    <t>35*</t>
  </si>
  <si>
    <t>Mahon</t>
  </si>
  <si>
    <t>(0/3)</t>
  </si>
  <si>
    <t>Marriner</t>
  </si>
  <si>
    <t>(5/22)</t>
  </si>
  <si>
    <t>(4/36)</t>
  </si>
  <si>
    <t>15*</t>
  </si>
  <si>
    <t>Kudra</t>
  </si>
  <si>
    <t>Kalidonis</t>
  </si>
  <si>
    <t>(4/12)</t>
  </si>
  <si>
    <t>30*</t>
  </si>
  <si>
    <t>(5/18)</t>
  </si>
  <si>
    <t>(5/25)</t>
  </si>
  <si>
    <t>149*</t>
  </si>
  <si>
    <t>(2/3)</t>
  </si>
  <si>
    <t>44*</t>
  </si>
  <si>
    <t>Mash Ahmad</t>
  </si>
  <si>
    <t>Hasin</t>
  </si>
  <si>
    <t>Jithendra</t>
  </si>
  <si>
    <t>(4/15)</t>
  </si>
  <si>
    <t>(1/6)</t>
  </si>
  <si>
    <t>Buhary</t>
  </si>
  <si>
    <t>Amjad</t>
  </si>
  <si>
    <t>Ahsanin Khan</t>
  </si>
  <si>
    <t>Afnan</t>
  </si>
  <si>
    <t>Wijetunga</t>
  </si>
  <si>
    <t>Sankha</t>
  </si>
  <si>
    <t>Shadman</t>
  </si>
  <si>
    <t>8*</t>
  </si>
  <si>
    <t>Kumarage</t>
  </si>
  <si>
    <t>Savindu</t>
  </si>
  <si>
    <t>Islam Zipu</t>
  </si>
  <si>
    <t>Zafral</t>
  </si>
  <si>
    <t>Jayasuriya</t>
  </si>
  <si>
    <t>Viraj</t>
  </si>
  <si>
    <t>Stillman</t>
  </si>
  <si>
    <t>Dalvi</t>
  </si>
  <si>
    <t>Bhaumik</t>
  </si>
  <si>
    <t>100*</t>
  </si>
  <si>
    <t>(3/26)</t>
  </si>
  <si>
    <t>(4/35)</t>
  </si>
  <si>
    <t>Bentley</t>
  </si>
  <si>
    <t>(0/4)</t>
  </si>
  <si>
    <t>(3/31)</t>
  </si>
  <si>
    <t>(2/30)</t>
  </si>
  <si>
    <t>(4/28)</t>
  </si>
  <si>
    <t>Lagerewskij</t>
  </si>
  <si>
    <t>(4/53)</t>
  </si>
  <si>
    <t>Hussain</t>
  </si>
  <si>
    <t>Nabil</t>
  </si>
  <si>
    <t>Lokubalasuriya</t>
  </si>
  <si>
    <t>Dihain</t>
  </si>
  <si>
    <t>(2/35)</t>
  </si>
  <si>
    <t>Nethvin</t>
  </si>
  <si>
    <t>(1/39)</t>
  </si>
  <si>
    <t>Kalumuni</t>
  </si>
  <si>
    <t>Isath</t>
  </si>
  <si>
    <t>(0/8)</t>
  </si>
  <si>
    <t>Chetty</t>
  </si>
  <si>
    <t>Kimiren</t>
  </si>
  <si>
    <t>N/A</t>
  </si>
  <si>
    <t>22*</t>
  </si>
  <si>
    <t>Algewatta</t>
  </si>
  <si>
    <t>18*</t>
  </si>
  <si>
    <t>Brahmanage</t>
  </si>
  <si>
    <t>Sashan</t>
  </si>
  <si>
    <t>168*</t>
  </si>
  <si>
    <t>25*</t>
  </si>
  <si>
    <t>41*</t>
  </si>
  <si>
    <t>6*</t>
  </si>
  <si>
    <t>57*</t>
  </si>
  <si>
    <t>de Silva</t>
  </si>
  <si>
    <t>Thilakarathna</t>
  </si>
  <si>
    <t>Doherty</t>
  </si>
  <si>
    <t>63*</t>
  </si>
  <si>
    <t>Fernandu</t>
  </si>
  <si>
    <t>Sashika</t>
  </si>
  <si>
    <t>46*</t>
  </si>
  <si>
    <t>Hettimulla</t>
  </si>
  <si>
    <t>Kahandawala</t>
  </si>
  <si>
    <t>Kaluthanthi</t>
  </si>
  <si>
    <t>Kodithuwakku</t>
  </si>
  <si>
    <t>Lankadewa</t>
  </si>
  <si>
    <t>37*</t>
  </si>
  <si>
    <t xml:space="preserve">Tharindu </t>
  </si>
  <si>
    <t>47*</t>
  </si>
  <si>
    <t>Sandaruwan</t>
  </si>
  <si>
    <t>Smreck</t>
  </si>
  <si>
    <t>3*</t>
  </si>
  <si>
    <t>13*</t>
  </si>
  <si>
    <t>Syed Aziz</t>
  </si>
  <si>
    <t>Bin</t>
  </si>
  <si>
    <t>Trevethan</t>
  </si>
  <si>
    <t>Don</t>
  </si>
  <si>
    <t>10*</t>
  </si>
  <si>
    <t>Strike Rate</t>
  </si>
  <si>
    <t>(0/12)</t>
  </si>
  <si>
    <t>(4/27)</t>
  </si>
  <si>
    <t>(3/21)</t>
  </si>
  <si>
    <t>(2/15)</t>
  </si>
  <si>
    <t>(5/23)</t>
  </si>
  <si>
    <t>(4/10)</t>
  </si>
  <si>
    <t>(1/12)</t>
  </si>
  <si>
    <t>(0/15)</t>
  </si>
  <si>
    <t>(3/3)</t>
  </si>
  <si>
    <t>(0/11)</t>
  </si>
  <si>
    <t>(0/25)</t>
  </si>
  <si>
    <t>(5/15)</t>
  </si>
  <si>
    <t>(2/7)</t>
  </si>
  <si>
    <t>(2/1)</t>
  </si>
  <si>
    <t>(2/44)</t>
  </si>
  <si>
    <t>(1/25)</t>
  </si>
  <si>
    <t>(2/21)</t>
  </si>
  <si>
    <t>(4/21)</t>
  </si>
  <si>
    <t>(3/17)</t>
  </si>
  <si>
    <t>(0/16)</t>
  </si>
  <si>
    <t>(1/10)</t>
  </si>
  <si>
    <t xml:space="preserve">Hope </t>
  </si>
  <si>
    <t>(0/19)</t>
  </si>
  <si>
    <t>(0/20)</t>
  </si>
  <si>
    <t>(1/9)</t>
  </si>
  <si>
    <t>(4/8)</t>
  </si>
  <si>
    <t>(2/6)</t>
  </si>
  <si>
    <t>(1/32)</t>
  </si>
  <si>
    <t>(3/7)</t>
  </si>
  <si>
    <t>(2/19)</t>
  </si>
  <si>
    <t>(2/20)</t>
  </si>
  <si>
    <t xml:space="preserve">Young </t>
  </si>
  <si>
    <t>(2/4)</t>
  </si>
  <si>
    <t>(0/34)</t>
  </si>
  <si>
    <t>(1/11)</t>
  </si>
  <si>
    <t>(1/26)</t>
  </si>
  <si>
    <t>(3/10)</t>
  </si>
  <si>
    <t>(4/23)</t>
  </si>
  <si>
    <t>(1/18)</t>
  </si>
  <si>
    <t>(0/1)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</si>
</sst>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49" fontId="2" fillId="0" borderId="1" xfId="1" applyNumberFormat="1" applyFont="1" applyBorder="1" applyAlignment="1">
      <alignment wrapText="1"/>
    </xf>
    <xf numFmtId="0" fontId="2" fillId="0" borderId="1" xfId="1" applyFont="1" applyBorder="1" applyAlignment="1">
      <alignment horizontal="right" wrapText="1"/>
    </xf>
    <xf numFmtId="2" fontId="0" fillId="0" borderId="0" xfId="0" applyNumberFormat="1"/>
    <xf numFmtId="164" fontId="0" fillId="0" borderId="0" xfId="0" applyNumberFormat="1"/>
    <xf numFmtId="0" fontId="2" fillId="0" borderId="2" xfId="1" applyFont="1" applyBorder="1" applyAlignment="1">
      <alignment horizontal="right" wrapText="1"/>
    </xf>
    <xf numFmtId="0" fontId="2" fillId="0" borderId="0" xfId="1" applyFont="1" applyAlignment="1">
      <alignment horizontal="right" wrapText="1"/>
    </xf>
    <xf numFmtId="49" fontId="2" fillId="0" borderId="2" xfId="1" applyNumberFormat="1" applyFont="1" applyBorder="1" applyAlignment="1">
      <alignment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2" fontId="0" fillId="0" borderId="3" xfId="0" applyNumberFormat="1" applyBorder="1"/>
    <xf numFmtId="49" fontId="2" fillId="2" borderId="1" xfId="1" applyNumberFormat="1" applyFont="1" applyFill="1" applyBorder="1" applyAlignment="1">
      <alignment wrapText="1"/>
    </xf>
    <xf numFmtId="0" fontId="2" fillId="2" borderId="1" xfId="1" applyFont="1" applyFill="1" applyBorder="1" applyAlignment="1">
      <alignment horizontal="right" wrapText="1"/>
    </xf>
    <xf numFmtId="16" fontId="0" fillId="0" borderId="1" xfId="0" applyNumberFormat="1" applyBorder="1"/>
    <xf numFmtId="0" fontId="0" fillId="2" borderId="0" xfId="0" applyFill="1"/>
    <xf numFmtId="2" fontId="0" fillId="2" borderId="0" xfId="0" applyNumberFormat="1" applyFill="1"/>
    <xf numFmtId="164" fontId="0" fillId="2" borderId="0" xfId="0" applyNumberFormat="1" applyFill="1"/>
    <xf numFmtId="0" fontId="2" fillId="2" borderId="2" xfId="1" applyFont="1" applyFill="1" applyBorder="1" applyAlignment="1">
      <alignment horizontal="right" wrapText="1"/>
    </xf>
    <xf numFmtId="0" fontId="0" fillId="2" borderId="1" xfId="0" applyFill="1" applyBorder="1"/>
    <xf numFmtId="0" fontId="2" fillId="2" borderId="1" xfId="1" applyFont="1" applyFill="1" applyBorder="1" applyAlignment="1">
      <alignment horizontal="left" wrapText="1"/>
    </xf>
    <xf numFmtId="49" fontId="2" fillId="2" borderId="0" xfId="1" applyNumberFormat="1" applyFont="1" applyFill="1" applyAlignment="1">
      <alignment wrapText="1"/>
    </xf>
    <xf numFmtId="49" fontId="2" fillId="0" borderId="0" xfId="1" applyNumberFormat="1" applyFont="1" applyAlignment="1">
      <alignment wrapText="1"/>
    </xf>
    <xf numFmtId="49" fontId="2" fillId="2" borderId="2" xfId="1" applyNumberFormat="1" applyFont="1" applyFill="1" applyBorder="1" applyAlignment="1">
      <alignment wrapText="1"/>
    </xf>
    <xf numFmtId="0" fontId="2" fillId="2" borderId="0" xfId="1" applyFont="1" applyFill="1" applyAlignment="1">
      <alignment horizontal="right" wrapText="1"/>
    </xf>
    <xf numFmtId="0" fontId="2" fillId="2" borderId="1" xfId="1" applyFont="1" applyFill="1" applyBorder="1" applyAlignment="1">
      <alignment wrapText="1"/>
    </xf>
    <xf numFmtId="1" fontId="0" fillId="2" borderId="1" xfId="0" applyNumberFormat="1" applyFill="1" applyBorder="1"/>
    <xf numFmtId="49" fontId="2" fillId="2" borderId="3" xfId="1" applyNumberFormat="1" applyFont="1" applyFill="1" applyBorder="1" applyAlignment="1">
      <alignment wrapText="1"/>
    </xf>
    <xf numFmtId="0" fontId="0" fillId="2" borderId="2" xfId="0" applyFill="1" applyBorder="1"/>
    <xf numFmtId="16" fontId="0" fillId="0" borderId="0" xfId="0" applyNumberFormat="1"/>
    <xf numFmtId="16" fontId="0" fillId="2" borderId="0" xfId="0" applyNumberFormat="1" applyFill="1"/>
    <xf numFmtId="49" fontId="2" fillId="0" borderId="0" xfId="1" applyNumberFormat="1" applyFont="1" applyBorder="1" applyAlignment="1">
      <alignment wrapText="1"/>
    </xf>
    <xf numFmtId="0" fontId="0" fillId="0" borderId="0" xfId="0" applyBorder="1"/>
    <xf numFmtId="49" fontId="2" fillId="2" borderId="0" xfId="1" applyNumberFormat="1" applyFont="1" applyFill="1" applyBorder="1" applyAlignment="1">
      <alignment wrapText="1"/>
    </xf>
    <xf numFmtId="0" fontId="0" fillId="2" borderId="0" xfId="0" applyFill="1" applyBorder="1"/>
    <xf numFmtId="49" fontId="2" fillId="0" borderId="3" xfId="1" applyNumberFormat="1" applyFont="1" applyBorder="1" applyAlignment="1">
      <alignment wrapText="1"/>
    </xf>
    <xf numFmtId="0" fontId="2" fillId="2" borderId="0" xfId="1" applyFont="1" applyFill="1" applyBorder="1" applyAlignment="1">
      <alignment horizontal="right" wrapText="1"/>
    </xf>
    <xf numFmtId="0" fontId="2" fillId="0" borderId="0" xfId="1" applyFont="1" applyBorder="1" applyAlignment="1">
      <alignment horizontal="right" wrapText="1"/>
    </xf>
    <xf numFmtId="0" fontId="0" fillId="2" borderId="3" xfId="0" applyFill="1" applyBorder="1"/>
    <xf numFmtId="2" fontId="0" fillId="0" borderId="0" xfId="0" applyNumberFormat="1" applyBorder="1"/>
    <xf numFmtId="2" fontId="2" fillId="0" borderId="2" xfId="1" applyNumberFormat="1" applyFont="1" applyBorder="1" applyAlignment="1">
      <alignment horizontal="right" wrapText="1"/>
    </xf>
    <xf numFmtId="0" fontId="2" fillId="2" borderId="3" xfId="1" applyFont="1" applyFill="1" applyBorder="1" applyAlignment="1">
      <alignment horizontal="right" wrapText="1"/>
    </xf>
    <xf numFmtId="1" fontId="0" fillId="0" borderId="0" xfId="0" applyNumberFormat="1" applyBorder="1"/>
    <xf numFmtId="1" fontId="0" fillId="2" borderId="0" xfId="0" applyNumberFormat="1" applyFill="1" applyBorder="1"/>
  </cellXfs>
  <cellStyles count="2">
    <cellStyle name="Normal" xfId="0" builtinId="0"/>
    <cellStyle name="Normal_Sheet5" xfId="1" xr:uid="{D52698CA-37BB-495C-9ADF-FE9147C0E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6E58-5BB9-4E33-88DC-D4FD6B43CC39}">
  <dimension ref="A1:AC1094"/>
  <sheetViews>
    <sheetView tabSelected="1" workbookViewId="0">
      <pane ySplit="1" topLeftCell="A2" activePane="bottomLeft" state="frozen"/>
      <selection activeCell="J1" sqref="J1"/>
      <selection pane="bottomLeft" activeCell="D7" sqref="D7"/>
    </sheetView>
  </sheetViews>
  <sheetFormatPr defaultRowHeight="14.5" x14ac:dyDescent="0.35"/>
  <cols>
    <col min="1" max="1" width="18.7265625" bestFit="1" customWidth="1"/>
    <col min="2" max="2" width="18.54296875" customWidth="1"/>
    <col min="3" max="3" width="17.26953125" bestFit="1" customWidth="1"/>
    <col min="4" max="4" width="11.453125" bestFit="1" customWidth="1"/>
    <col min="5" max="5" width="12.1796875" bestFit="1" customWidth="1"/>
    <col min="6" max="6" width="11.81640625" bestFit="1" customWidth="1"/>
    <col min="7" max="9" width="11.7265625" bestFit="1" customWidth="1"/>
    <col min="10" max="10" width="15.7265625" bestFit="1" customWidth="1"/>
    <col min="11" max="11" width="11.453125" bestFit="1" customWidth="1"/>
    <col min="14" max="14" width="15.7265625" bestFit="1" customWidth="1"/>
    <col min="15" max="15" width="13.90625" bestFit="1" customWidth="1"/>
    <col min="18" max="18" width="12" bestFit="1" customWidth="1"/>
  </cols>
  <sheetData>
    <row r="1" spans="1:29" x14ac:dyDescent="0.35">
      <c r="A1" t="s">
        <v>0</v>
      </c>
      <c r="B1" t="s">
        <v>1</v>
      </c>
      <c r="C1" t="s">
        <v>1086</v>
      </c>
      <c r="D1" t="s">
        <v>1087</v>
      </c>
      <c r="E1" t="s">
        <v>1088</v>
      </c>
      <c r="F1" t="s">
        <v>1089</v>
      </c>
      <c r="G1" t="s">
        <v>1090</v>
      </c>
      <c r="H1" t="s">
        <v>1091</v>
      </c>
      <c r="I1" t="s">
        <v>1092</v>
      </c>
      <c r="J1" t="s">
        <v>1121</v>
      </c>
      <c r="K1" t="s">
        <v>1122</v>
      </c>
      <c r="L1" t="s">
        <v>1093</v>
      </c>
      <c r="M1" t="s">
        <v>1097</v>
      </c>
      <c r="N1" t="s">
        <v>9</v>
      </c>
      <c r="O1" t="s">
        <v>1094</v>
      </c>
      <c r="P1" t="s">
        <v>1095</v>
      </c>
      <c r="Q1" t="s">
        <v>1096</v>
      </c>
      <c r="R1" t="s">
        <v>10</v>
      </c>
      <c r="S1" t="s">
        <v>2</v>
      </c>
      <c r="T1" t="s">
        <v>3</v>
      </c>
      <c r="U1" t="s">
        <v>1098</v>
      </c>
      <c r="V1" t="s">
        <v>4</v>
      </c>
      <c r="W1" t="s">
        <v>5</v>
      </c>
      <c r="X1" t="s">
        <v>6</v>
      </c>
      <c r="Y1" t="s">
        <v>7</v>
      </c>
      <c r="Z1" t="s">
        <v>1099</v>
      </c>
      <c r="AA1" t="s">
        <v>1102</v>
      </c>
      <c r="AB1" t="s">
        <v>1101</v>
      </c>
      <c r="AC1" t="s">
        <v>1100</v>
      </c>
    </row>
    <row r="2" spans="1:29" x14ac:dyDescent="0.35">
      <c r="A2" s="1" t="s">
        <v>11</v>
      </c>
      <c r="B2" s="1" t="s">
        <v>12</v>
      </c>
      <c r="C2">
        <f>D2+E2+F2+G2+H2+I2</f>
        <v>20</v>
      </c>
      <c r="D2" s="2">
        <v>0</v>
      </c>
      <c r="E2" s="2">
        <v>20</v>
      </c>
      <c r="F2" s="2">
        <v>0</v>
      </c>
      <c r="G2" s="2">
        <v>0</v>
      </c>
      <c r="H2" s="2">
        <v>0</v>
      </c>
      <c r="I2" s="2">
        <v>0</v>
      </c>
      <c r="J2" s="2">
        <v>15</v>
      </c>
      <c r="K2">
        <f>J2+L2</f>
        <v>21</v>
      </c>
      <c r="L2" s="2">
        <v>6</v>
      </c>
      <c r="M2" s="2">
        <v>0</v>
      </c>
      <c r="N2" s="2">
        <v>539</v>
      </c>
      <c r="O2" s="3">
        <f>N2/J2</f>
        <v>35.93333333333333</v>
      </c>
      <c r="P2" s="2">
        <v>4</v>
      </c>
      <c r="Q2" s="2">
        <v>1</v>
      </c>
      <c r="R2" s="2">
        <v>112</v>
      </c>
      <c r="S2" s="2">
        <v>90</v>
      </c>
      <c r="T2" s="2">
        <v>10</v>
      </c>
      <c r="U2" s="2">
        <v>6</v>
      </c>
      <c r="V2" s="2">
        <v>283</v>
      </c>
      <c r="W2" s="3">
        <f>V2/S2</f>
        <v>3.1444444444444444</v>
      </c>
      <c r="X2" s="3">
        <f>V2/U2</f>
        <v>47.166666666666664</v>
      </c>
      <c r="Y2" s="4">
        <f>S2*6/U2</f>
        <v>90</v>
      </c>
      <c r="Z2" s="2">
        <v>2</v>
      </c>
      <c r="AA2" s="2">
        <v>0</v>
      </c>
      <c r="AB2" s="2">
        <v>0</v>
      </c>
      <c r="AC2" s="2">
        <v>5</v>
      </c>
    </row>
    <row r="3" spans="1:29" x14ac:dyDescent="0.35">
      <c r="A3" s="1" t="s">
        <v>13</v>
      </c>
      <c r="B3" s="1" t="s">
        <v>14</v>
      </c>
      <c r="C3">
        <f>D3+E3+F3+G3+H3+I3</f>
        <v>4</v>
      </c>
      <c r="D3" s="2">
        <v>0</v>
      </c>
      <c r="E3" s="2">
        <v>0</v>
      </c>
      <c r="F3" s="2">
        <v>0</v>
      </c>
      <c r="G3" s="2">
        <v>4</v>
      </c>
      <c r="H3" s="2">
        <v>0</v>
      </c>
      <c r="I3" s="2">
        <v>0</v>
      </c>
      <c r="J3" s="2">
        <v>3</v>
      </c>
      <c r="K3">
        <f>J3+L3</f>
        <v>3</v>
      </c>
      <c r="L3" s="2">
        <v>0</v>
      </c>
      <c r="M3" s="2">
        <v>1</v>
      </c>
      <c r="N3" s="2">
        <v>35</v>
      </c>
      <c r="O3" s="3">
        <f>N3/J3</f>
        <v>11.666666666666666</v>
      </c>
      <c r="P3" s="2">
        <v>0</v>
      </c>
      <c r="Q3" s="2">
        <v>0</v>
      </c>
      <c r="R3" s="2">
        <v>18</v>
      </c>
      <c r="S3" s="2">
        <v>0</v>
      </c>
      <c r="T3" s="2">
        <v>0</v>
      </c>
      <c r="U3" s="2">
        <v>0</v>
      </c>
      <c r="V3" s="2">
        <v>0</v>
      </c>
      <c r="W3" s="3" t="e">
        <f>V3/S3</f>
        <v>#DIV/0!</v>
      </c>
      <c r="X3" s="3" t="e">
        <f>V3/U3</f>
        <v>#DIV/0!</v>
      </c>
      <c r="Y3" s="4" t="e">
        <f>S3*6/U3</f>
        <v>#DIV/0!</v>
      </c>
      <c r="Z3" s="2">
        <v>0</v>
      </c>
      <c r="AA3" s="2">
        <v>0</v>
      </c>
      <c r="AB3" s="2">
        <v>0</v>
      </c>
      <c r="AC3" s="2">
        <v>1</v>
      </c>
    </row>
    <row r="4" spans="1:29" x14ac:dyDescent="0.35">
      <c r="A4" s="1" t="s">
        <v>15</v>
      </c>
      <c r="B4" s="1" t="s">
        <v>16</v>
      </c>
      <c r="C4">
        <f>D4+E4+F4+G4+H4+I4</f>
        <v>25</v>
      </c>
      <c r="D4" s="2">
        <v>14</v>
      </c>
      <c r="E4" s="2">
        <v>8</v>
      </c>
      <c r="F4" s="2">
        <v>3</v>
      </c>
      <c r="G4" s="2">
        <v>0</v>
      </c>
      <c r="H4" s="2">
        <v>0</v>
      </c>
      <c r="I4" s="2">
        <v>0</v>
      </c>
      <c r="J4" s="2">
        <v>26</v>
      </c>
      <c r="K4">
        <f>J4+L4</f>
        <v>27</v>
      </c>
      <c r="L4" s="2">
        <v>1</v>
      </c>
      <c r="M4" s="2">
        <v>0</v>
      </c>
      <c r="N4" s="2">
        <v>384</v>
      </c>
      <c r="O4" s="3">
        <f>N4/J4</f>
        <v>14.76923076923077</v>
      </c>
      <c r="P4" s="2">
        <v>2</v>
      </c>
      <c r="Q4" s="2">
        <v>0</v>
      </c>
      <c r="R4" s="2">
        <v>62</v>
      </c>
      <c r="S4" s="2">
        <v>66</v>
      </c>
      <c r="T4" s="2">
        <v>10</v>
      </c>
      <c r="U4" s="2">
        <v>10</v>
      </c>
      <c r="V4" s="2">
        <v>213</v>
      </c>
      <c r="W4" s="3">
        <f>V4/S4</f>
        <v>3.2272727272727271</v>
      </c>
      <c r="X4" s="3">
        <f>V4/U4</f>
        <v>21.3</v>
      </c>
      <c r="Y4" s="4">
        <f>S4*6/U4</f>
        <v>39.6</v>
      </c>
      <c r="Z4" s="2">
        <v>3</v>
      </c>
      <c r="AA4" s="2">
        <v>0</v>
      </c>
      <c r="AB4" s="2">
        <v>0</v>
      </c>
      <c r="AC4" s="2">
        <v>14</v>
      </c>
    </row>
    <row r="5" spans="1:29" x14ac:dyDescent="0.35">
      <c r="A5" s="35" t="s">
        <v>1231</v>
      </c>
      <c r="B5" s="35" t="s">
        <v>1232</v>
      </c>
      <c r="C5">
        <f>D5+E5+F5+G5+H5+I5+D5</f>
        <v>11</v>
      </c>
      <c r="D5" s="40">
        <v>0</v>
      </c>
      <c r="E5" s="40">
        <v>0</v>
      </c>
      <c r="F5" s="40">
        <v>10</v>
      </c>
      <c r="G5" s="40">
        <v>0</v>
      </c>
      <c r="H5" s="40">
        <v>1</v>
      </c>
      <c r="I5" s="40">
        <v>0</v>
      </c>
      <c r="J5" s="40">
        <v>6</v>
      </c>
      <c r="K5">
        <f>J5+L5</f>
        <v>9</v>
      </c>
      <c r="L5" s="40">
        <v>3</v>
      </c>
      <c r="M5" s="40">
        <v>2</v>
      </c>
      <c r="N5" s="40">
        <v>105</v>
      </c>
      <c r="O5" s="3">
        <f>N5/J5</f>
        <v>17.5</v>
      </c>
      <c r="P5" s="40">
        <v>1</v>
      </c>
      <c r="Q5" s="40">
        <v>0</v>
      </c>
      <c r="R5" s="40">
        <v>53</v>
      </c>
      <c r="S5" s="35">
        <v>66</v>
      </c>
      <c r="T5" s="35">
        <v>2</v>
      </c>
      <c r="U5" s="35">
        <v>10</v>
      </c>
      <c r="V5" s="35">
        <f>246+33</f>
        <v>279</v>
      </c>
      <c r="W5" s="3">
        <f>V5/S5</f>
        <v>4.2272727272727275</v>
      </c>
      <c r="X5" s="3">
        <f>V5/U5</f>
        <v>27.9</v>
      </c>
      <c r="Y5" s="3">
        <f>372/U5</f>
        <v>37.200000000000003</v>
      </c>
      <c r="Z5" s="35" t="s">
        <v>1200</v>
      </c>
      <c r="AA5" s="35">
        <v>0</v>
      </c>
      <c r="AB5" s="35">
        <v>0</v>
      </c>
      <c r="AC5" s="35">
        <v>3</v>
      </c>
    </row>
    <row r="6" spans="1:29" x14ac:dyDescent="0.35">
      <c r="A6" s="35" t="s">
        <v>1114</v>
      </c>
      <c r="B6" s="35" t="s">
        <v>1115</v>
      </c>
      <c r="C6">
        <f>D6+E6+F6+G6+H6+I6</f>
        <v>12</v>
      </c>
      <c r="D6" s="40">
        <v>12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5</v>
      </c>
      <c r="K6">
        <f>J6+L6</f>
        <v>6</v>
      </c>
      <c r="L6" s="40">
        <v>1</v>
      </c>
      <c r="M6" s="40">
        <v>6</v>
      </c>
      <c r="N6" s="40">
        <v>24</v>
      </c>
      <c r="O6" s="3">
        <f>N6/J6</f>
        <v>4.8</v>
      </c>
      <c r="P6" s="40">
        <v>0</v>
      </c>
      <c r="Q6" s="40">
        <v>0</v>
      </c>
      <c r="R6" s="40">
        <v>11</v>
      </c>
      <c r="S6" s="35">
        <v>61.5</v>
      </c>
      <c r="T6" s="35">
        <v>10</v>
      </c>
      <c r="U6" s="35">
        <v>15</v>
      </c>
      <c r="V6" s="35">
        <v>237</v>
      </c>
      <c r="W6">
        <v>3.85</v>
      </c>
      <c r="X6" s="3">
        <v>15.8</v>
      </c>
      <c r="Y6" s="4">
        <v>24.73</v>
      </c>
      <c r="Z6" s="35" t="s">
        <v>1116</v>
      </c>
      <c r="AA6" s="40">
        <v>1</v>
      </c>
      <c r="AB6" s="40">
        <v>0</v>
      </c>
      <c r="AC6" s="40">
        <v>5</v>
      </c>
    </row>
    <row r="7" spans="1:29" x14ac:dyDescent="0.35">
      <c r="A7" s="1" t="s">
        <v>17</v>
      </c>
      <c r="B7" s="1" t="s">
        <v>18</v>
      </c>
      <c r="C7">
        <f>D7+E7+F7+G7+H7+I7</f>
        <v>8</v>
      </c>
      <c r="D7" s="2">
        <v>0</v>
      </c>
      <c r="E7" s="2">
        <v>0</v>
      </c>
      <c r="F7" s="2">
        <v>0</v>
      </c>
      <c r="G7" s="2">
        <v>0</v>
      </c>
      <c r="H7" s="2">
        <v>8</v>
      </c>
      <c r="I7" s="2">
        <v>0</v>
      </c>
      <c r="J7" s="2">
        <v>5</v>
      </c>
      <c r="K7">
        <f>J7+L7</f>
        <v>6</v>
      </c>
      <c r="L7" s="2">
        <v>1</v>
      </c>
      <c r="M7" s="2">
        <v>2</v>
      </c>
      <c r="N7" s="2">
        <v>206</v>
      </c>
      <c r="O7" s="3">
        <f>N7/J7</f>
        <v>41.2</v>
      </c>
      <c r="P7" s="2">
        <v>2</v>
      </c>
      <c r="Q7" s="2">
        <v>0</v>
      </c>
      <c r="R7" s="2">
        <v>84</v>
      </c>
      <c r="S7" s="2">
        <v>27</v>
      </c>
      <c r="T7" s="2">
        <v>2</v>
      </c>
      <c r="U7" s="2">
        <v>6</v>
      </c>
      <c r="V7" s="2">
        <v>78</v>
      </c>
      <c r="W7" s="3">
        <f>V7/S7</f>
        <v>2.8888888888888888</v>
      </c>
      <c r="X7" s="3">
        <f>V7/U7</f>
        <v>13</v>
      </c>
      <c r="Y7" s="4">
        <f>S7*6/U7</f>
        <v>27</v>
      </c>
      <c r="Z7" s="2">
        <v>4</v>
      </c>
      <c r="AA7" s="2">
        <v>0</v>
      </c>
      <c r="AB7" s="2">
        <v>0</v>
      </c>
      <c r="AC7" s="2">
        <v>6</v>
      </c>
    </row>
    <row r="8" spans="1:29" x14ac:dyDescent="0.35">
      <c r="A8" s="1" t="s">
        <v>19</v>
      </c>
      <c r="B8" s="1" t="s">
        <v>20</v>
      </c>
      <c r="C8">
        <f>D8+E8+F8+G8+H8+I8</f>
        <v>81</v>
      </c>
      <c r="D8" s="2">
        <v>24</v>
      </c>
      <c r="E8" s="2">
        <v>38</v>
      </c>
      <c r="F8" s="2">
        <v>14</v>
      </c>
      <c r="G8" s="2">
        <v>5</v>
      </c>
      <c r="H8" s="2">
        <v>0</v>
      </c>
      <c r="I8" s="2">
        <v>0</v>
      </c>
      <c r="J8" s="2">
        <v>42</v>
      </c>
      <c r="K8">
        <f>J8+L8</f>
        <v>75</v>
      </c>
      <c r="L8" s="2">
        <v>33</v>
      </c>
      <c r="M8" s="2">
        <v>31</v>
      </c>
      <c r="N8" s="2">
        <v>244</v>
      </c>
      <c r="O8" s="3">
        <f>N8/J8</f>
        <v>5.8095238095238093</v>
      </c>
      <c r="P8" s="2">
        <v>0</v>
      </c>
      <c r="Q8" s="2">
        <v>0</v>
      </c>
      <c r="R8" s="2">
        <v>42</v>
      </c>
      <c r="S8" s="2">
        <f>544.4+29</f>
        <v>573.4</v>
      </c>
      <c r="T8" s="2">
        <v>83</v>
      </c>
      <c r="U8" s="2">
        <v>96</v>
      </c>
      <c r="V8" s="2">
        <f>1864+109</f>
        <v>1973</v>
      </c>
      <c r="W8" s="3">
        <f>V8/S8</f>
        <v>3.4408789675619116</v>
      </c>
      <c r="X8" s="3">
        <f>V8/U8</f>
        <v>20.552083333333332</v>
      </c>
      <c r="Y8" s="4">
        <f>S8*6/U8</f>
        <v>35.837499999999999</v>
      </c>
      <c r="Z8" s="2">
        <v>5</v>
      </c>
      <c r="AA8" s="2">
        <v>1</v>
      </c>
      <c r="AB8" s="2">
        <v>0</v>
      </c>
      <c r="AC8" s="2">
        <v>19</v>
      </c>
    </row>
    <row r="9" spans="1:29" x14ac:dyDescent="0.35">
      <c r="A9" s="1" t="s">
        <v>21</v>
      </c>
      <c r="B9" s="1" t="s">
        <v>22</v>
      </c>
      <c r="C9">
        <f>D9+E9+F9+G9+H9+I9</f>
        <v>8</v>
      </c>
      <c r="D9" s="2">
        <v>8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9</v>
      </c>
      <c r="K9">
        <f>J9+L9</f>
        <v>9</v>
      </c>
      <c r="L9" s="2">
        <v>0</v>
      </c>
      <c r="M9" s="2">
        <v>0</v>
      </c>
      <c r="N9" s="2">
        <v>224</v>
      </c>
      <c r="O9" s="3">
        <f>N9/J9</f>
        <v>24.888888888888889</v>
      </c>
      <c r="P9" s="2">
        <v>0</v>
      </c>
      <c r="Q9" s="2">
        <v>0</v>
      </c>
      <c r="R9" s="2">
        <v>35</v>
      </c>
      <c r="S9" s="2">
        <v>2</v>
      </c>
      <c r="T9" s="2">
        <v>1</v>
      </c>
      <c r="U9" s="2">
        <v>1</v>
      </c>
      <c r="V9" s="2">
        <v>2</v>
      </c>
      <c r="W9" s="3">
        <f>V9/S9</f>
        <v>1</v>
      </c>
      <c r="X9" s="3">
        <f>V9/U9</f>
        <v>2</v>
      </c>
      <c r="Y9" s="4">
        <f>S9*6/U9</f>
        <v>12</v>
      </c>
      <c r="Z9" s="2">
        <v>1</v>
      </c>
      <c r="AA9" s="2">
        <v>0</v>
      </c>
      <c r="AB9" s="2">
        <v>0</v>
      </c>
      <c r="AC9" s="2">
        <v>0</v>
      </c>
    </row>
    <row r="10" spans="1:29" x14ac:dyDescent="0.35">
      <c r="A10" s="37" t="s">
        <v>1417</v>
      </c>
      <c r="B10" s="37" t="s">
        <v>1418</v>
      </c>
      <c r="C10" s="18">
        <f>D10+E10+F10+G10+H10+I10</f>
        <v>17</v>
      </c>
      <c r="D10" s="39">
        <v>0</v>
      </c>
      <c r="E10" s="39">
        <v>0</v>
      </c>
      <c r="F10" s="39">
        <v>0</v>
      </c>
      <c r="G10" s="39">
        <v>5</v>
      </c>
      <c r="H10" s="39">
        <v>12</v>
      </c>
      <c r="I10" s="39">
        <v>0</v>
      </c>
      <c r="J10" s="39">
        <v>16</v>
      </c>
      <c r="K10" s="18">
        <f>J10+L10</f>
        <v>16</v>
      </c>
      <c r="L10" s="39">
        <v>0</v>
      </c>
      <c r="M10" s="39">
        <v>1</v>
      </c>
      <c r="N10" s="39">
        <f>146+295</f>
        <v>441</v>
      </c>
      <c r="O10" s="19">
        <f>N10/J10</f>
        <v>27.5625</v>
      </c>
      <c r="P10" s="39">
        <v>2</v>
      </c>
      <c r="Q10" s="39">
        <v>0</v>
      </c>
      <c r="R10" s="39">
        <v>78</v>
      </c>
      <c r="S10" s="37">
        <f>6+69</f>
        <v>75</v>
      </c>
      <c r="T10" s="37">
        <v>5</v>
      </c>
      <c r="U10" s="37">
        <v>13</v>
      </c>
      <c r="V10" s="37">
        <f>41+329</f>
        <v>370</v>
      </c>
      <c r="W10" s="19">
        <f>V10/S10</f>
        <v>4.9333333333333336</v>
      </c>
      <c r="X10" s="19">
        <f>V10/U10</f>
        <v>28.46153846153846</v>
      </c>
      <c r="Y10" s="19">
        <f>S10*6/U10</f>
        <v>34.615384615384613</v>
      </c>
      <c r="Z10" s="37" t="s">
        <v>1434</v>
      </c>
      <c r="AA10" s="46">
        <v>0</v>
      </c>
      <c r="AB10" s="46">
        <v>0</v>
      </c>
      <c r="AC10" s="46">
        <v>5</v>
      </c>
    </row>
    <row r="11" spans="1:29" x14ac:dyDescent="0.35">
      <c r="A11" s="1" t="s">
        <v>23</v>
      </c>
      <c r="B11" s="1" t="s">
        <v>24</v>
      </c>
      <c r="C11">
        <f>D11+E11+F11+G11+H11+I11</f>
        <v>3</v>
      </c>
      <c r="D11" s="2">
        <v>0</v>
      </c>
      <c r="E11" s="2">
        <v>0</v>
      </c>
      <c r="F11" s="2">
        <v>0</v>
      </c>
      <c r="G11" s="2">
        <v>0</v>
      </c>
      <c r="H11" s="2">
        <v>3</v>
      </c>
      <c r="I11" s="2">
        <v>0</v>
      </c>
      <c r="J11" s="2">
        <v>1</v>
      </c>
      <c r="K11">
        <f>J11+L11</f>
        <v>1</v>
      </c>
      <c r="L11" s="2">
        <v>0</v>
      </c>
      <c r="M11" s="2">
        <v>2</v>
      </c>
      <c r="N11" s="2">
        <v>0</v>
      </c>
      <c r="O11" s="3">
        <f>N11/J11</f>
        <v>0</v>
      </c>
      <c r="P11" s="2">
        <v>0</v>
      </c>
      <c r="Q11" s="2">
        <v>0</v>
      </c>
      <c r="R11" s="2">
        <v>0</v>
      </c>
      <c r="S11" s="2">
        <v>21</v>
      </c>
      <c r="T11" s="2">
        <v>1</v>
      </c>
      <c r="U11" s="2">
        <v>5</v>
      </c>
      <c r="V11" s="2">
        <v>58</v>
      </c>
      <c r="W11" s="3">
        <f>V11/S11</f>
        <v>2.7619047619047619</v>
      </c>
      <c r="X11" s="3">
        <f>V11/U11</f>
        <v>11.6</v>
      </c>
      <c r="Y11" s="4">
        <f>S11*6/U11</f>
        <v>25.2</v>
      </c>
      <c r="Z11" s="2">
        <v>3</v>
      </c>
      <c r="AA11" s="2">
        <v>0</v>
      </c>
      <c r="AB11" s="2">
        <v>0</v>
      </c>
      <c r="AC11" s="2">
        <v>0</v>
      </c>
    </row>
    <row r="12" spans="1:29" x14ac:dyDescent="0.35">
      <c r="A12" s="1" t="s">
        <v>25</v>
      </c>
      <c r="B12" s="1" t="s">
        <v>26</v>
      </c>
      <c r="C12">
        <f>D12+E12+F12+G12+H12+I12</f>
        <v>26</v>
      </c>
      <c r="D12" s="2">
        <v>18</v>
      </c>
      <c r="E12" s="2">
        <v>8</v>
      </c>
      <c r="F12" s="2">
        <v>0</v>
      </c>
      <c r="G12" s="2">
        <v>0</v>
      </c>
      <c r="H12" s="2">
        <v>0</v>
      </c>
      <c r="I12" s="2">
        <v>0</v>
      </c>
      <c r="J12" s="2">
        <v>22</v>
      </c>
      <c r="K12">
        <f>J12+L12</f>
        <v>25</v>
      </c>
      <c r="L12" s="2">
        <v>3</v>
      </c>
      <c r="M12" s="2">
        <v>1</v>
      </c>
      <c r="N12" s="2">
        <v>780</v>
      </c>
      <c r="O12" s="3">
        <f>N12/J12</f>
        <v>35.454545454545453</v>
      </c>
      <c r="P12" s="2">
        <v>8</v>
      </c>
      <c r="Q12" s="2">
        <v>0</v>
      </c>
      <c r="R12" s="2">
        <v>88</v>
      </c>
      <c r="S12" s="2">
        <v>26</v>
      </c>
      <c r="T12" s="2">
        <v>6</v>
      </c>
      <c r="U12" s="2">
        <v>4</v>
      </c>
      <c r="V12" s="2">
        <v>91</v>
      </c>
      <c r="W12" s="3">
        <f>V12/S12</f>
        <v>3.5</v>
      </c>
      <c r="X12" s="3">
        <f>V12/U12</f>
        <v>22.75</v>
      </c>
      <c r="Y12" s="4">
        <f>S12*6/U12</f>
        <v>39</v>
      </c>
      <c r="Z12" s="2">
        <v>3</v>
      </c>
      <c r="AA12" s="2">
        <v>0</v>
      </c>
      <c r="AB12" s="2">
        <v>0</v>
      </c>
      <c r="AC12" s="2">
        <v>11</v>
      </c>
    </row>
    <row r="13" spans="1:29" x14ac:dyDescent="0.35">
      <c r="A13" s="1" t="s">
        <v>27</v>
      </c>
      <c r="B13" s="1" t="s">
        <v>28</v>
      </c>
      <c r="C13">
        <f>D13+E13+F13+G13+H13+I13</f>
        <v>158</v>
      </c>
      <c r="D13" s="2">
        <v>138</v>
      </c>
      <c r="E13" s="2">
        <v>6</v>
      </c>
      <c r="F13" s="2">
        <v>0</v>
      </c>
      <c r="G13" s="2">
        <v>1</v>
      </c>
      <c r="H13" s="2">
        <v>12</v>
      </c>
      <c r="I13" s="2">
        <v>1</v>
      </c>
      <c r="J13" s="2">
        <v>135</v>
      </c>
      <c r="K13">
        <f>J13+L13</f>
        <v>154</v>
      </c>
      <c r="L13" s="2">
        <v>19</v>
      </c>
      <c r="M13" s="2">
        <v>8</v>
      </c>
      <c r="N13" s="2">
        <v>4351</v>
      </c>
      <c r="O13" s="3">
        <f>N13/J13</f>
        <v>32.229629629629628</v>
      </c>
      <c r="P13" s="2">
        <v>20</v>
      </c>
      <c r="Q13" s="2">
        <v>7</v>
      </c>
      <c r="R13" s="2">
        <v>135</v>
      </c>
      <c r="S13" s="2">
        <v>197</v>
      </c>
      <c r="T13" s="2">
        <v>38</v>
      </c>
      <c r="U13" s="2">
        <v>20</v>
      </c>
      <c r="V13" s="2">
        <v>662</v>
      </c>
      <c r="W13" s="3">
        <f>V13/S13</f>
        <v>3.3604060913705585</v>
      </c>
      <c r="X13" s="3">
        <f>V13/U13</f>
        <v>33.1</v>
      </c>
      <c r="Y13" s="4">
        <f>S13*6/U13</f>
        <v>59.1</v>
      </c>
      <c r="Z13" s="2">
        <v>3</v>
      </c>
      <c r="AA13" s="2">
        <v>0</v>
      </c>
      <c r="AB13" s="2">
        <v>0</v>
      </c>
      <c r="AC13" s="2">
        <v>55</v>
      </c>
    </row>
    <row r="14" spans="1:29" x14ac:dyDescent="0.35">
      <c r="A14" s="1" t="s">
        <v>27</v>
      </c>
      <c r="B14" s="1" t="s">
        <v>31</v>
      </c>
      <c r="C14">
        <f>D14+E14+F14+G14+H14+I14</f>
        <v>163</v>
      </c>
      <c r="D14" s="2">
        <v>48</v>
      </c>
      <c r="E14" s="2">
        <v>94</v>
      </c>
      <c r="F14" s="2">
        <v>4</v>
      </c>
      <c r="G14" s="2">
        <v>3</v>
      </c>
      <c r="H14" s="2">
        <v>11</v>
      </c>
      <c r="I14" s="2">
        <v>3</v>
      </c>
      <c r="J14" s="2">
        <v>154</v>
      </c>
      <c r="K14">
        <f>J14+L14</f>
        <v>172</v>
      </c>
      <c r="L14" s="2">
        <v>18</v>
      </c>
      <c r="M14" s="2">
        <v>11</v>
      </c>
      <c r="N14" s="2">
        <v>3897</v>
      </c>
      <c r="O14" s="3">
        <f>N14/J14</f>
        <v>25.305194805194805</v>
      </c>
      <c r="P14" s="2">
        <v>23</v>
      </c>
      <c r="Q14" s="2">
        <v>7</v>
      </c>
      <c r="R14" s="2">
        <v>142</v>
      </c>
      <c r="S14" s="2">
        <v>52</v>
      </c>
      <c r="T14" s="2">
        <v>4</v>
      </c>
      <c r="U14" s="2">
        <v>10</v>
      </c>
      <c r="V14" s="2">
        <v>236</v>
      </c>
      <c r="W14" s="3">
        <f>V14/S14</f>
        <v>4.5384615384615383</v>
      </c>
      <c r="X14" s="3">
        <f>V14/U14</f>
        <v>23.6</v>
      </c>
      <c r="Y14" s="4">
        <f>S14*6/U14</f>
        <v>31.2</v>
      </c>
      <c r="Z14" s="2">
        <v>2</v>
      </c>
      <c r="AA14" s="2">
        <v>0</v>
      </c>
      <c r="AB14" s="2">
        <v>0</v>
      </c>
      <c r="AC14" s="2">
        <v>31</v>
      </c>
    </row>
    <row r="15" spans="1:29" x14ac:dyDescent="0.35">
      <c r="A15" s="1" t="s">
        <v>27</v>
      </c>
      <c r="B15" s="1" t="s">
        <v>20</v>
      </c>
      <c r="C15">
        <f>D15+E15+F15+G15+H15+I15</f>
        <v>65</v>
      </c>
      <c r="D15" s="2">
        <v>50</v>
      </c>
      <c r="E15" s="2">
        <v>12</v>
      </c>
      <c r="F15" s="2">
        <v>1</v>
      </c>
      <c r="G15" s="2">
        <v>0</v>
      </c>
      <c r="H15" s="2">
        <v>1</v>
      </c>
      <c r="I15" s="2">
        <v>1</v>
      </c>
      <c r="J15" s="2">
        <v>62</v>
      </c>
      <c r="K15">
        <f>J15+L15</f>
        <v>68</v>
      </c>
      <c r="L15" s="2">
        <v>6</v>
      </c>
      <c r="M15" s="2">
        <v>3</v>
      </c>
      <c r="N15" s="2">
        <v>1527</v>
      </c>
      <c r="O15" s="3">
        <f>N15/J15</f>
        <v>24.629032258064516</v>
      </c>
      <c r="P15" s="2">
        <v>8</v>
      </c>
      <c r="Q15" s="2">
        <v>2</v>
      </c>
      <c r="R15" s="2">
        <v>111</v>
      </c>
      <c r="S15" s="2">
        <v>79</v>
      </c>
      <c r="T15" s="2">
        <v>9</v>
      </c>
      <c r="U15" s="2">
        <v>10</v>
      </c>
      <c r="V15" s="2">
        <v>276</v>
      </c>
      <c r="W15" s="3">
        <f>V15/S15</f>
        <v>3.4936708860759493</v>
      </c>
      <c r="X15" s="3">
        <f>V15/U15</f>
        <v>27.6</v>
      </c>
      <c r="Y15" s="4">
        <f>S15*6/U15</f>
        <v>47.4</v>
      </c>
      <c r="Z15" s="2">
        <v>2</v>
      </c>
      <c r="AA15" s="2">
        <v>0</v>
      </c>
      <c r="AB15" s="2">
        <v>0</v>
      </c>
      <c r="AC15" s="2">
        <v>19</v>
      </c>
    </row>
    <row r="16" spans="1:29" x14ac:dyDescent="0.35">
      <c r="A16" s="1" t="s">
        <v>27</v>
      </c>
      <c r="B16" s="1" t="s">
        <v>29</v>
      </c>
      <c r="C16">
        <f>D16+E16+F16+G16+H16+I16</f>
        <v>18</v>
      </c>
      <c r="D16" s="2">
        <v>1</v>
      </c>
      <c r="E16" s="2">
        <v>10</v>
      </c>
      <c r="F16" s="2">
        <v>6</v>
      </c>
      <c r="G16" s="2">
        <v>1</v>
      </c>
      <c r="H16" s="2">
        <v>0</v>
      </c>
      <c r="I16" s="2">
        <v>0</v>
      </c>
      <c r="J16" s="2">
        <v>15</v>
      </c>
      <c r="K16">
        <f>J16+L16</f>
        <v>17</v>
      </c>
      <c r="L16" s="2">
        <v>2</v>
      </c>
      <c r="M16" s="2">
        <v>2</v>
      </c>
      <c r="N16" s="2">
        <v>323</v>
      </c>
      <c r="O16" s="3">
        <f>N16/J16</f>
        <v>21.533333333333335</v>
      </c>
      <c r="P16" s="2">
        <v>0</v>
      </c>
      <c r="Q16" s="2">
        <v>1</v>
      </c>
      <c r="R16" s="2">
        <v>105</v>
      </c>
      <c r="S16" s="2">
        <v>0</v>
      </c>
      <c r="T16" s="2">
        <v>0</v>
      </c>
      <c r="U16" s="2">
        <v>0</v>
      </c>
      <c r="V16" s="2">
        <v>0</v>
      </c>
      <c r="W16" s="3" t="e">
        <f>V16/S16</f>
        <v>#DIV/0!</v>
      </c>
      <c r="X16" s="3" t="e">
        <f>V16/U16</f>
        <v>#DIV/0!</v>
      </c>
      <c r="Y16" s="4" t="e">
        <f>S16*6/U16</f>
        <v>#DIV/0!</v>
      </c>
      <c r="Z16" s="2">
        <v>0</v>
      </c>
      <c r="AA16" s="2">
        <v>0</v>
      </c>
      <c r="AB16" s="2">
        <v>0</v>
      </c>
      <c r="AC16" s="2">
        <v>11</v>
      </c>
    </row>
    <row r="17" spans="1:29" x14ac:dyDescent="0.35">
      <c r="A17" s="1" t="s">
        <v>27</v>
      </c>
      <c r="B17" s="1" t="s">
        <v>32</v>
      </c>
      <c r="C17">
        <f>D17+E17+F17+G17+H17+I17</f>
        <v>13</v>
      </c>
      <c r="D17" s="2">
        <v>13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14</v>
      </c>
      <c r="K17">
        <f>J17+L17</f>
        <v>15</v>
      </c>
      <c r="L17" s="2">
        <v>1</v>
      </c>
      <c r="M17" s="2">
        <v>0</v>
      </c>
      <c r="N17" s="2">
        <v>127</v>
      </c>
      <c r="O17" s="3">
        <f>N17/J17</f>
        <v>9.0714285714285712</v>
      </c>
      <c r="P17" s="2">
        <v>0</v>
      </c>
      <c r="Q17" s="2">
        <v>0</v>
      </c>
      <c r="R17" s="2">
        <v>39</v>
      </c>
      <c r="S17" s="2">
        <v>0</v>
      </c>
      <c r="T17" s="2">
        <v>0</v>
      </c>
      <c r="U17" s="2">
        <v>0</v>
      </c>
      <c r="V17" s="2">
        <v>0</v>
      </c>
      <c r="W17" s="3" t="e">
        <f>V17/S17</f>
        <v>#DIV/0!</v>
      </c>
      <c r="X17" s="3" t="e">
        <f>V17/U17</f>
        <v>#DIV/0!</v>
      </c>
      <c r="Y17" s="4" t="e">
        <f>S17*6/U17</f>
        <v>#DIV/0!</v>
      </c>
      <c r="Z17" s="2">
        <v>0</v>
      </c>
      <c r="AA17" s="2">
        <v>0</v>
      </c>
      <c r="AB17" s="2">
        <v>0</v>
      </c>
      <c r="AC17" s="2">
        <v>1</v>
      </c>
    </row>
    <row r="18" spans="1:29" x14ac:dyDescent="0.35">
      <c r="A18" s="1" t="s">
        <v>27</v>
      </c>
      <c r="B18" s="1" t="s">
        <v>30</v>
      </c>
      <c r="C18">
        <f>D18+E18+F18+G18+H18+I18</f>
        <v>1</v>
      </c>
      <c r="D18" s="2">
        <v>0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1</v>
      </c>
      <c r="K18">
        <f>J18+L18</f>
        <v>1</v>
      </c>
      <c r="L18" s="2">
        <v>0</v>
      </c>
      <c r="M18" s="2">
        <v>0</v>
      </c>
      <c r="N18" s="2">
        <v>0</v>
      </c>
      <c r="O18" s="3">
        <f>N18/J18</f>
        <v>0</v>
      </c>
      <c r="P18" s="2">
        <v>0</v>
      </c>
      <c r="Q18" s="2">
        <v>0</v>
      </c>
      <c r="R18" s="2">
        <v>0</v>
      </c>
      <c r="S18" s="2">
        <v>15</v>
      </c>
      <c r="T18" s="2">
        <v>1</v>
      </c>
      <c r="U18" s="2">
        <v>4</v>
      </c>
      <c r="V18" s="2">
        <v>58</v>
      </c>
      <c r="W18" s="3">
        <f>V18/S18</f>
        <v>3.8666666666666667</v>
      </c>
      <c r="X18" s="3">
        <f>V18/U18</f>
        <v>14.5</v>
      </c>
      <c r="Y18" s="4">
        <f>S18*6/U18</f>
        <v>22.5</v>
      </c>
      <c r="Z18" s="2">
        <v>4</v>
      </c>
      <c r="AA18" s="2">
        <v>0</v>
      </c>
      <c r="AB18" s="2">
        <v>0</v>
      </c>
      <c r="AC18" s="2">
        <v>0</v>
      </c>
    </row>
    <row r="19" spans="1:29" x14ac:dyDescent="0.35">
      <c r="A19" s="1" t="s">
        <v>33</v>
      </c>
      <c r="B19" s="1" t="s">
        <v>35</v>
      </c>
      <c r="C19">
        <f>D19+E19+F19+G19+H19+I19</f>
        <v>102</v>
      </c>
      <c r="D19" s="2">
        <v>51</v>
      </c>
      <c r="E19" s="2">
        <v>16</v>
      </c>
      <c r="F19" s="2">
        <v>6</v>
      </c>
      <c r="G19" s="2">
        <v>0</v>
      </c>
      <c r="H19" s="2">
        <v>27</v>
      </c>
      <c r="I19" s="2">
        <v>2</v>
      </c>
      <c r="J19" s="2">
        <v>58</v>
      </c>
      <c r="K19">
        <f>J19+L19</f>
        <v>72</v>
      </c>
      <c r="L19" s="2">
        <v>14</v>
      </c>
      <c r="M19" s="2">
        <v>33</v>
      </c>
      <c r="N19" s="2">
        <v>867</v>
      </c>
      <c r="O19" s="3">
        <f>N19/J19</f>
        <v>14.948275862068966</v>
      </c>
      <c r="P19" s="2">
        <v>1</v>
      </c>
      <c r="Q19" s="2">
        <v>0</v>
      </c>
      <c r="R19" s="2">
        <v>84</v>
      </c>
      <c r="S19" s="2">
        <v>29</v>
      </c>
      <c r="T19" s="2">
        <v>3</v>
      </c>
      <c r="U19" s="2">
        <v>6</v>
      </c>
      <c r="V19" s="2">
        <v>98</v>
      </c>
      <c r="W19" s="3">
        <f>V19/S19</f>
        <v>3.3793103448275863</v>
      </c>
      <c r="X19" s="3">
        <f>V19/U19</f>
        <v>16.333333333333332</v>
      </c>
      <c r="Y19" s="4">
        <f>S19*6/U19</f>
        <v>29</v>
      </c>
      <c r="Z19" s="2">
        <v>4</v>
      </c>
      <c r="AA19" s="2">
        <v>0</v>
      </c>
      <c r="AB19" s="2">
        <v>0</v>
      </c>
      <c r="AC19" s="2">
        <v>98</v>
      </c>
    </row>
    <row r="20" spans="1:29" x14ac:dyDescent="0.35">
      <c r="A20" s="1" t="s">
        <v>33</v>
      </c>
      <c r="B20" s="1" t="s">
        <v>34</v>
      </c>
      <c r="C20">
        <f>D20+E20+F20+G20+H20+I20</f>
        <v>44</v>
      </c>
      <c r="D20" s="2">
        <v>0</v>
      </c>
      <c r="E20" s="2">
        <v>0</v>
      </c>
      <c r="F20" s="2">
        <v>5</v>
      </c>
      <c r="G20" s="2">
        <v>28</v>
      </c>
      <c r="H20" s="2">
        <v>8</v>
      </c>
      <c r="I20" s="2">
        <v>3</v>
      </c>
      <c r="J20" s="2">
        <v>15</v>
      </c>
      <c r="K20">
        <f>J20+L20</f>
        <v>33</v>
      </c>
      <c r="L20" s="2">
        <v>18</v>
      </c>
      <c r="M20" s="2">
        <v>11</v>
      </c>
      <c r="N20" s="2">
        <v>315</v>
      </c>
      <c r="O20" s="3">
        <f>N20/J20</f>
        <v>21</v>
      </c>
      <c r="P20" s="2">
        <v>1</v>
      </c>
      <c r="Q20" s="2">
        <v>0</v>
      </c>
      <c r="R20" s="2">
        <v>61</v>
      </c>
      <c r="S20" s="2">
        <v>329</v>
      </c>
      <c r="T20" s="2">
        <v>65</v>
      </c>
      <c r="U20" s="2">
        <v>54</v>
      </c>
      <c r="V20" s="2">
        <v>967</v>
      </c>
      <c r="W20" s="3">
        <f>V20/S20</f>
        <v>2.9392097264437691</v>
      </c>
      <c r="X20" s="3">
        <f>V20/U20</f>
        <v>17.907407407407408</v>
      </c>
      <c r="Y20" s="4">
        <f>S20*6/U20</f>
        <v>36.555555555555557</v>
      </c>
      <c r="Z20" s="2">
        <v>7</v>
      </c>
      <c r="AA20" s="2">
        <v>4</v>
      </c>
      <c r="AB20" s="2">
        <v>0</v>
      </c>
      <c r="AC20" s="2">
        <v>4</v>
      </c>
    </row>
    <row r="21" spans="1:29" x14ac:dyDescent="0.35">
      <c r="A21" s="1" t="s">
        <v>36</v>
      </c>
      <c r="B21" s="1" t="s">
        <v>20</v>
      </c>
      <c r="C21">
        <f>D21+E21+F21+G21+H21+I21</f>
        <v>5</v>
      </c>
      <c r="D21" s="2">
        <v>0</v>
      </c>
      <c r="E21" s="2">
        <v>0</v>
      </c>
      <c r="F21" s="2">
        <v>0</v>
      </c>
      <c r="G21" s="2">
        <v>5</v>
      </c>
      <c r="H21" s="2">
        <v>0</v>
      </c>
      <c r="I21" s="2">
        <v>0</v>
      </c>
      <c r="J21" s="2">
        <v>2</v>
      </c>
      <c r="K21">
        <f>J21+L21</f>
        <v>4</v>
      </c>
      <c r="L21" s="2">
        <v>2</v>
      </c>
      <c r="M21" s="2">
        <v>1</v>
      </c>
      <c r="N21" s="2">
        <v>159</v>
      </c>
      <c r="O21" s="3">
        <f>N21/J21</f>
        <v>79.5</v>
      </c>
      <c r="P21" s="2">
        <v>0</v>
      </c>
      <c r="Q21" s="2">
        <v>1</v>
      </c>
      <c r="R21" s="2">
        <v>111</v>
      </c>
      <c r="S21" s="2">
        <v>0</v>
      </c>
      <c r="T21" s="2">
        <v>0</v>
      </c>
      <c r="U21" s="2">
        <v>0</v>
      </c>
      <c r="V21" s="2">
        <v>0</v>
      </c>
      <c r="W21" s="3" t="e">
        <f>V21/S21</f>
        <v>#DIV/0!</v>
      </c>
      <c r="X21" s="3" t="e">
        <f>V21/U21</f>
        <v>#DIV/0!</v>
      </c>
      <c r="Y21" s="4" t="e">
        <f>S21*6/U21</f>
        <v>#DIV/0!</v>
      </c>
      <c r="Z21" s="2">
        <v>0</v>
      </c>
      <c r="AA21" s="2">
        <v>0</v>
      </c>
      <c r="AB21" s="2">
        <v>0</v>
      </c>
      <c r="AC21" s="2">
        <v>0</v>
      </c>
    </row>
    <row r="22" spans="1:29" x14ac:dyDescent="0.35">
      <c r="A22" s="1" t="s">
        <v>37</v>
      </c>
      <c r="B22" s="1" t="s">
        <v>38</v>
      </c>
      <c r="C22">
        <f>D22+E22+F22+G22+H22+I22</f>
        <v>1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1</v>
      </c>
      <c r="K22">
        <f>J22+L22</f>
        <v>1</v>
      </c>
      <c r="L22" s="2">
        <v>0</v>
      </c>
      <c r="M22" s="2">
        <v>0</v>
      </c>
      <c r="N22" s="2">
        <v>8</v>
      </c>
      <c r="O22" s="3">
        <f>N22/J22</f>
        <v>8</v>
      </c>
      <c r="P22" s="2">
        <v>0</v>
      </c>
      <c r="Q22" s="2">
        <v>0</v>
      </c>
      <c r="R22" s="2">
        <v>8</v>
      </c>
      <c r="S22" s="2">
        <v>2</v>
      </c>
      <c r="T22" s="2">
        <v>0</v>
      </c>
      <c r="U22" s="2">
        <v>0</v>
      </c>
      <c r="V22" s="2">
        <v>5</v>
      </c>
      <c r="W22" s="3">
        <f>V22/S22</f>
        <v>2.5</v>
      </c>
      <c r="X22" s="3" t="e">
        <f>V22/U22</f>
        <v>#DIV/0!</v>
      </c>
      <c r="Y22" s="4" t="e">
        <f>S22*6/U22</f>
        <v>#DIV/0!</v>
      </c>
      <c r="Z22" s="2">
        <v>0</v>
      </c>
      <c r="AA22" s="2">
        <v>0</v>
      </c>
      <c r="AB22" s="2">
        <v>0</v>
      </c>
      <c r="AC22" s="2">
        <v>0</v>
      </c>
    </row>
    <row r="23" spans="1:29" x14ac:dyDescent="0.35">
      <c r="A23" s="1" t="s">
        <v>39</v>
      </c>
      <c r="B23" s="1" t="s">
        <v>41</v>
      </c>
      <c r="C23">
        <f>D23+E23+F23+G23+H23+I23</f>
        <v>1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1</v>
      </c>
      <c r="K23">
        <f>J23+L23</f>
        <v>1</v>
      </c>
      <c r="L23" s="2">
        <v>0</v>
      </c>
      <c r="M23" s="2">
        <v>0</v>
      </c>
      <c r="N23" s="2">
        <v>2</v>
      </c>
      <c r="O23" s="3">
        <f>N23/J23</f>
        <v>2</v>
      </c>
      <c r="P23" s="2">
        <v>0</v>
      </c>
      <c r="Q23" s="2">
        <v>0</v>
      </c>
      <c r="R23" s="2">
        <v>2</v>
      </c>
      <c r="S23" s="2">
        <v>0</v>
      </c>
      <c r="T23" s="2">
        <v>0</v>
      </c>
      <c r="U23" s="2">
        <v>0</v>
      </c>
      <c r="V23" s="2">
        <v>0</v>
      </c>
      <c r="W23" s="3" t="e">
        <f>V23/S23</f>
        <v>#DIV/0!</v>
      </c>
      <c r="X23" s="3" t="e">
        <f>V23/U23</f>
        <v>#DIV/0!</v>
      </c>
      <c r="Y23" s="4" t="e">
        <f>S23*6/U23</f>
        <v>#DIV/0!</v>
      </c>
      <c r="Z23" s="2">
        <v>0</v>
      </c>
      <c r="AA23" s="2">
        <v>0</v>
      </c>
      <c r="AB23" s="2">
        <v>0</v>
      </c>
      <c r="AC23" s="2">
        <v>1</v>
      </c>
    </row>
    <row r="24" spans="1:29" x14ac:dyDescent="0.35">
      <c r="A24" s="1" t="s">
        <v>39</v>
      </c>
      <c r="B24" s="1" t="s">
        <v>42</v>
      </c>
      <c r="C24">
        <f>D24+E24+F24+G24+H24+I24</f>
        <v>1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>
        <f>J24+L24</f>
        <v>0</v>
      </c>
      <c r="L24" s="2">
        <v>0</v>
      </c>
      <c r="M24" s="2">
        <v>1</v>
      </c>
      <c r="N24" s="2">
        <v>0</v>
      </c>
      <c r="O24" s="3" t="e">
        <f>N24/J24</f>
        <v>#DIV/0!</v>
      </c>
      <c r="P24" s="2">
        <v>0</v>
      </c>
      <c r="Q24" s="2">
        <v>0</v>
      </c>
      <c r="R24" s="2">
        <v>0</v>
      </c>
      <c r="S24" s="2">
        <v>6</v>
      </c>
      <c r="T24" s="2">
        <v>1</v>
      </c>
      <c r="U24" s="2">
        <v>0</v>
      </c>
      <c r="V24" s="2">
        <v>30</v>
      </c>
      <c r="W24" s="3">
        <f>V24/S24</f>
        <v>5</v>
      </c>
      <c r="X24" s="3" t="e">
        <f>V24/U24</f>
        <v>#DIV/0!</v>
      </c>
      <c r="Y24" s="4" t="e">
        <f>S24*6/U24</f>
        <v>#DIV/0!</v>
      </c>
      <c r="Z24" s="2">
        <v>0</v>
      </c>
      <c r="AA24" s="2">
        <v>0</v>
      </c>
      <c r="AB24" s="2">
        <v>0</v>
      </c>
      <c r="AC24" s="2">
        <v>1</v>
      </c>
    </row>
    <row r="25" spans="1:29" x14ac:dyDescent="0.35">
      <c r="A25" s="1" t="s">
        <v>39</v>
      </c>
      <c r="B25" s="1" t="s">
        <v>40</v>
      </c>
      <c r="C25">
        <f>D25+E25+F25+G25+H25+I25</f>
        <v>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>
        <f>J25+L25</f>
        <v>0</v>
      </c>
      <c r="L25" s="2">
        <v>0</v>
      </c>
      <c r="M25" s="2">
        <v>1</v>
      </c>
      <c r="N25" s="2">
        <v>0</v>
      </c>
      <c r="O25" s="3" t="e">
        <f>N25/J25</f>
        <v>#DIV/0!</v>
      </c>
      <c r="P25" s="2">
        <v>0</v>
      </c>
      <c r="Q25" s="2">
        <v>0</v>
      </c>
      <c r="R25" s="2">
        <v>0</v>
      </c>
      <c r="S25" s="2">
        <v>2</v>
      </c>
      <c r="T25" s="2">
        <v>0</v>
      </c>
      <c r="U25" s="2">
        <v>0</v>
      </c>
      <c r="V25" s="2">
        <v>16</v>
      </c>
      <c r="W25" s="3">
        <f>V25/S25</f>
        <v>8</v>
      </c>
      <c r="X25" s="3" t="e">
        <f>V25/U25</f>
        <v>#DIV/0!</v>
      </c>
      <c r="Y25" s="4" t="e">
        <f>S25*6/U25</f>
        <v>#DIV/0!</v>
      </c>
      <c r="Z25" s="2">
        <v>0</v>
      </c>
      <c r="AA25" s="2">
        <v>0</v>
      </c>
      <c r="AB25" s="2">
        <v>0</v>
      </c>
      <c r="AC25" s="2">
        <v>0</v>
      </c>
    </row>
    <row r="26" spans="1:29" x14ac:dyDescent="0.35">
      <c r="A26" s="37" t="s">
        <v>1358</v>
      </c>
      <c r="B26" s="37" t="s">
        <v>1359</v>
      </c>
      <c r="C26" s="18">
        <f>D26+E26+F26+G26+H26+I26</f>
        <v>24</v>
      </c>
      <c r="D26" s="21">
        <v>24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37">
        <v>14</v>
      </c>
      <c r="K26" s="18">
        <f>J26+L26</f>
        <v>19</v>
      </c>
      <c r="L26" s="37">
        <v>5</v>
      </c>
      <c r="M26" s="37">
        <v>6</v>
      </c>
      <c r="N26" s="37">
        <f>57+56</f>
        <v>113</v>
      </c>
      <c r="O26" s="19">
        <f>N26/J26</f>
        <v>8.0714285714285712</v>
      </c>
      <c r="P26" s="37">
        <v>0</v>
      </c>
      <c r="Q26" s="37">
        <v>0</v>
      </c>
      <c r="R26" s="37" t="s">
        <v>1267</v>
      </c>
      <c r="S26" s="37">
        <f>133+75.1</f>
        <v>208.1</v>
      </c>
      <c r="T26" s="37">
        <v>38</v>
      </c>
      <c r="U26" s="37">
        <f>11+23</f>
        <v>34</v>
      </c>
      <c r="V26" s="37">
        <f>214+464</f>
        <v>678</v>
      </c>
      <c r="W26" s="19">
        <f>V26/S26</f>
        <v>3.2580490148966845</v>
      </c>
      <c r="X26" s="19">
        <f>V26/U26</f>
        <v>19.941176470588236</v>
      </c>
      <c r="Y26" s="19">
        <f>S26*6/U26</f>
        <v>36.723529411764702</v>
      </c>
      <c r="Z26" s="37" t="s">
        <v>1399</v>
      </c>
      <c r="AA26" s="37">
        <v>0</v>
      </c>
      <c r="AB26" s="37">
        <v>0</v>
      </c>
      <c r="AC26" s="37">
        <v>10</v>
      </c>
    </row>
    <row r="27" spans="1:29" x14ac:dyDescent="0.35">
      <c r="A27" s="1" t="s">
        <v>43</v>
      </c>
      <c r="B27" s="1" t="s">
        <v>18</v>
      </c>
      <c r="C27">
        <f>D27+E27+F27+G27+H27+I27</f>
        <v>11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11</v>
      </c>
      <c r="J27" s="2">
        <v>4</v>
      </c>
      <c r="K27">
        <f>J27+L27</f>
        <v>8</v>
      </c>
      <c r="L27" s="2">
        <v>4</v>
      </c>
      <c r="M27" s="2">
        <v>7</v>
      </c>
      <c r="N27" s="2">
        <v>29</v>
      </c>
      <c r="O27" s="3">
        <f>N27/J27</f>
        <v>7.25</v>
      </c>
      <c r="P27" s="2">
        <v>0</v>
      </c>
      <c r="Q27" s="2">
        <v>0</v>
      </c>
      <c r="R27" s="2">
        <v>23</v>
      </c>
      <c r="S27" s="2">
        <v>0</v>
      </c>
      <c r="T27" s="2">
        <v>0</v>
      </c>
      <c r="U27" s="2">
        <v>0</v>
      </c>
      <c r="V27" s="2">
        <v>0</v>
      </c>
      <c r="W27" s="3" t="e">
        <f>V27/S27</f>
        <v>#DIV/0!</v>
      </c>
      <c r="X27" s="3" t="e">
        <f>V27/U27</f>
        <v>#DIV/0!</v>
      </c>
      <c r="Y27" s="4" t="e">
        <f>S27*6/U27</f>
        <v>#DIV/0!</v>
      </c>
      <c r="Z27" s="2">
        <v>0</v>
      </c>
      <c r="AA27" s="2">
        <v>0</v>
      </c>
      <c r="AB27" s="2">
        <v>0</v>
      </c>
      <c r="AC27" s="2">
        <v>8</v>
      </c>
    </row>
    <row r="28" spans="1:29" x14ac:dyDescent="0.35">
      <c r="A28" s="1" t="s">
        <v>44</v>
      </c>
      <c r="B28" s="1" t="s">
        <v>45</v>
      </c>
      <c r="C28">
        <f>D28+E28+F28+G28+H28+I28</f>
        <v>1</v>
      </c>
      <c r="D28" s="2">
        <v>0</v>
      </c>
      <c r="E28" s="2">
        <v>0</v>
      </c>
      <c r="F28" s="2">
        <v>1</v>
      </c>
      <c r="G28" s="2">
        <v>0</v>
      </c>
      <c r="H28" s="2">
        <v>0</v>
      </c>
      <c r="I28" s="2">
        <v>0</v>
      </c>
      <c r="J28" s="2">
        <v>1</v>
      </c>
      <c r="K28">
        <f>J28+L28</f>
        <v>1</v>
      </c>
      <c r="L28" s="2">
        <v>0</v>
      </c>
      <c r="M28" s="2">
        <v>0</v>
      </c>
      <c r="N28" s="2">
        <v>6</v>
      </c>
      <c r="O28" s="3">
        <f>N28/J28</f>
        <v>6</v>
      </c>
      <c r="P28" s="2">
        <v>0</v>
      </c>
      <c r="Q28" s="2">
        <v>0</v>
      </c>
      <c r="R28" s="2">
        <v>6</v>
      </c>
      <c r="S28" s="2">
        <v>0</v>
      </c>
      <c r="T28" s="2">
        <v>0</v>
      </c>
      <c r="U28" s="2">
        <v>0</v>
      </c>
      <c r="V28" s="2">
        <v>0</v>
      </c>
      <c r="W28" s="3" t="e">
        <f>V28/S28</f>
        <v>#DIV/0!</v>
      </c>
      <c r="X28" s="3" t="e">
        <f>V28/U28</f>
        <v>#DIV/0!</v>
      </c>
      <c r="Y28" s="4" t="e">
        <f>S28*6/U28</f>
        <v>#DIV/0!</v>
      </c>
      <c r="Z28" s="2">
        <v>0</v>
      </c>
      <c r="AA28" s="2">
        <v>0</v>
      </c>
      <c r="AB28" s="2">
        <v>0</v>
      </c>
      <c r="AC28" s="2">
        <v>0</v>
      </c>
    </row>
    <row r="29" spans="1:29" x14ac:dyDescent="0.35">
      <c r="A29" s="1" t="s">
        <v>46</v>
      </c>
      <c r="B29" s="1" t="s">
        <v>47</v>
      </c>
      <c r="C29">
        <f>D29+E29+F29+G29+H29+I29</f>
        <v>2</v>
      </c>
      <c r="D29" s="2">
        <v>0</v>
      </c>
      <c r="E29" s="2">
        <v>0</v>
      </c>
      <c r="F29" s="2">
        <v>0</v>
      </c>
      <c r="G29" s="2">
        <v>2</v>
      </c>
      <c r="H29" s="2">
        <v>0</v>
      </c>
      <c r="I29" s="2">
        <v>0</v>
      </c>
      <c r="J29" s="2">
        <v>0</v>
      </c>
      <c r="K29">
        <f>J29+L29</f>
        <v>1</v>
      </c>
      <c r="L29" s="2">
        <v>1</v>
      </c>
      <c r="M29" s="2">
        <v>1</v>
      </c>
      <c r="N29" s="2">
        <v>0</v>
      </c>
      <c r="O29" s="3" t="e">
        <f>N29/J29</f>
        <v>#DIV/0!</v>
      </c>
      <c r="P29" s="2">
        <v>0</v>
      </c>
      <c r="Q29" s="2">
        <v>0</v>
      </c>
      <c r="R29" s="2">
        <v>0</v>
      </c>
      <c r="S29" s="2">
        <v>5</v>
      </c>
      <c r="T29" s="2">
        <v>0</v>
      </c>
      <c r="U29" s="2">
        <v>0</v>
      </c>
      <c r="V29" s="2">
        <v>24</v>
      </c>
      <c r="W29" s="3">
        <f>V29/S29</f>
        <v>4.8</v>
      </c>
      <c r="X29" s="3" t="e">
        <f>V29/U29</f>
        <v>#DIV/0!</v>
      </c>
      <c r="Y29" s="4" t="e">
        <f>S29*6/U29</f>
        <v>#DIV/0!</v>
      </c>
      <c r="Z29" s="2">
        <v>0</v>
      </c>
      <c r="AA29" s="2">
        <v>0</v>
      </c>
      <c r="AB29" s="2">
        <v>0</v>
      </c>
      <c r="AC29" s="2">
        <v>0</v>
      </c>
    </row>
    <row r="30" spans="1:29" x14ac:dyDescent="0.35">
      <c r="A30" s="1" t="s">
        <v>48</v>
      </c>
      <c r="B30" s="1" t="s">
        <v>49</v>
      </c>
      <c r="C30">
        <f>D30+E30+F30+G30+H30+I30</f>
        <v>42</v>
      </c>
      <c r="D30" s="2">
        <v>0</v>
      </c>
      <c r="E30" s="2">
        <v>1</v>
      </c>
      <c r="F30" s="2">
        <v>15</v>
      </c>
      <c r="G30" s="2">
        <v>13</v>
      </c>
      <c r="H30" s="2">
        <v>13</v>
      </c>
      <c r="I30" s="2">
        <v>0</v>
      </c>
      <c r="J30" s="2">
        <v>9</v>
      </c>
      <c r="K30">
        <f>J30+L30</f>
        <v>18</v>
      </c>
      <c r="L30" s="2">
        <v>9</v>
      </c>
      <c r="M30" s="2">
        <v>25</v>
      </c>
      <c r="N30" s="2">
        <v>97</v>
      </c>
      <c r="O30" s="3">
        <f>N30/J30</f>
        <v>10.777777777777779</v>
      </c>
      <c r="P30" s="2">
        <v>0</v>
      </c>
      <c r="Q30" s="2">
        <v>0</v>
      </c>
      <c r="R30" s="2">
        <v>28</v>
      </c>
      <c r="S30" s="2">
        <f>141.2+78</f>
        <v>219.2</v>
      </c>
      <c r="T30" s="2">
        <v>39</v>
      </c>
      <c r="U30" s="2">
        <v>41</v>
      </c>
      <c r="V30" s="2">
        <f>457+231</f>
        <v>688</v>
      </c>
      <c r="W30" s="3">
        <f>V30/S30</f>
        <v>3.1386861313868613</v>
      </c>
      <c r="X30" s="3">
        <f>V30/U30</f>
        <v>16.780487804878049</v>
      </c>
      <c r="Y30" s="4">
        <f>S30*6/U30</f>
        <v>32.078048780487798</v>
      </c>
      <c r="Z30" s="2" t="s">
        <v>1125</v>
      </c>
      <c r="AA30" s="2">
        <v>0</v>
      </c>
      <c r="AB30" s="2">
        <v>0</v>
      </c>
      <c r="AC30" s="2">
        <v>3</v>
      </c>
    </row>
    <row r="31" spans="1:29" x14ac:dyDescent="0.35">
      <c r="A31" s="1" t="s">
        <v>50</v>
      </c>
      <c r="B31" s="1" t="s">
        <v>51</v>
      </c>
      <c r="C31">
        <f>D31+E31+F31+G31+H31+I31</f>
        <v>12</v>
      </c>
      <c r="D31" s="2">
        <v>0</v>
      </c>
      <c r="E31" s="2">
        <v>5</v>
      </c>
      <c r="F31" s="2">
        <v>0</v>
      </c>
      <c r="G31" s="2">
        <v>5</v>
      </c>
      <c r="H31" s="2">
        <v>2</v>
      </c>
      <c r="I31" s="2">
        <v>0</v>
      </c>
      <c r="J31" s="2">
        <v>7</v>
      </c>
      <c r="K31">
        <f>J31+L31</f>
        <v>9</v>
      </c>
      <c r="L31" s="2">
        <v>2</v>
      </c>
      <c r="M31" s="2">
        <v>3</v>
      </c>
      <c r="N31" s="2">
        <v>51</v>
      </c>
      <c r="O31" s="3">
        <f>N31/J31</f>
        <v>7.2857142857142856</v>
      </c>
      <c r="P31" s="2">
        <v>0</v>
      </c>
      <c r="Q31" s="2">
        <v>0</v>
      </c>
      <c r="R31" s="2">
        <v>35</v>
      </c>
      <c r="S31" s="2">
        <v>129</v>
      </c>
      <c r="T31" s="2">
        <v>23</v>
      </c>
      <c r="U31" s="2">
        <v>10</v>
      </c>
      <c r="V31" s="2">
        <v>333</v>
      </c>
      <c r="W31" s="3">
        <f>V31/S31</f>
        <v>2.5813953488372094</v>
      </c>
      <c r="X31" s="3">
        <f>V31/U31</f>
        <v>33.299999999999997</v>
      </c>
      <c r="Y31" s="4">
        <f>S31*6/U31</f>
        <v>77.400000000000006</v>
      </c>
      <c r="Z31" s="2">
        <v>2</v>
      </c>
      <c r="AA31" s="2">
        <v>0</v>
      </c>
      <c r="AB31" s="2">
        <v>0</v>
      </c>
      <c r="AC31" s="2">
        <v>4</v>
      </c>
    </row>
    <row r="32" spans="1:29" x14ac:dyDescent="0.35">
      <c r="A32" s="1" t="s">
        <v>52</v>
      </c>
      <c r="B32" s="1" t="s">
        <v>54</v>
      </c>
      <c r="C32">
        <f>D32+E32+F32+G32+H32+I32</f>
        <v>7</v>
      </c>
      <c r="D32" s="2">
        <v>0</v>
      </c>
      <c r="E32" s="2">
        <v>0</v>
      </c>
      <c r="F32" s="2">
        <v>0</v>
      </c>
      <c r="G32" s="2">
        <v>0</v>
      </c>
      <c r="H32" s="2">
        <v>7</v>
      </c>
      <c r="I32" s="2">
        <v>0</v>
      </c>
      <c r="J32" s="2">
        <v>5</v>
      </c>
      <c r="K32">
        <f>J32+L32</f>
        <v>7</v>
      </c>
      <c r="L32" s="2">
        <v>2</v>
      </c>
      <c r="M32" s="2">
        <v>1</v>
      </c>
      <c r="N32" s="2">
        <v>53</v>
      </c>
      <c r="O32" s="3">
        <f>N32/J32</f>
        <v>10.6</v>
      </c>
      <c r="P32" s="2">
        <v>0</v>
      </c>
      <c r="Q32" s="2">
        <v>0</v>
      </c>
      <c r="R32" s="2">
        <v>13</v>
      </c>
      <c r="S32" s="2">
        <v>0</v>
      </c>
      <c r="T32" s="2">
        <v>0</v>
      </c>
      <c r="U32" s="2">
        <v>0</v>
      </c>
      <c r="V32" s="2">
        <v>0</v>
      </c>
      <c r="W32" s="3" t="e">
        <f>V32/S32</f>
        <v>#DIV/0!</v>
      </c>
      <c r="X32" s="3" t="e">
        <f>V32/U32</f>
        <v>#DIV/0!</v>
      </c>
      <c r="Y32" s="4" t="e">
        <f>S32*6/U32</f>
        <v>#DIV/0!</v>
      </c>
      <c r="Z32" s="2">
        <v>0</v>
      </c>
      <c r="AA32" s="2">
        <v>0</v>
      </c>
      <c r="AB32" s="2">
        <v>0</v>
      </c>
      <c r="AC32" s="2">
        <v>9</v>
      </c>
    </row>
    <row r="33" spans="1:29" x14ac:dyDescent="0.35">
      <c r="A33" s="1" t="s">
        <v>52</v>
      </c>
      <c r="B33" s="1" t="s">
        <v>53</v>
      </c>
      <c r="C33">
        <f>D33+E33+F33+G33+H33+I33</f>
        <v>1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1</v>
      </c>
      <c r="K33">
        <f>J33+L33</f>
        <v>1</v>
      </c>
      <c r="L33" s="2">
        <v>0</v>
      </c>
      <c r="M33" s="2">
        <v>0</v>
      </c>
      <c r="N33" s="2">
        <v>1</v>
      </c>
      <c r="O33" s="3">
        <f>N33/J33</f>
        <v>1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3" t="e">
        <f>V33/S33</f>
        <v>#DIV/0!</v>
      </c>
      <c r="X33" s="3" t="e">
        <f>V33/U33</f>
        <v>#DIV/0!</v>
      </c>
      <c r="Y33" s="4" t="e">
        <f>S33*6/U33</f>
        <v>#DIV/0!</v>
      </c>
      <c r="Z33" s="2">
        <v>0</v>
      </c>
      <c r="AA33" s="2">
        <v>0</v>
      </c>
      <c r="AB33" s="2">
        <v>0</v>
      </c>
      <c r="AC33" s="2">
        <v>1</v>
      </c>
    </row>
    <row r="34" spans="1:29" x14ac:dyDescent="0.35">
      <c r="A34" s="1" t="s">
        <v>55</v>
      </c>
      <c r="B34" s="1" t="s">
        <v>56</v>
      </c>
      <c r="C34">
        <f>D34+E34+F34+G34+H34+I34</f>
        <v>1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>
        <f>J34+L34</f>
        <v>0</v>
      </c>
      <c r="L34" s="2">
        <v>0</v>
      </c>
      <c r="M34" s="2">
        <v>1</v>
      </c>
      <c r="N34" s="2">
        <v>0</v>
      </c>
      <c r="O34" s="3" t="e">
        <f>N34/J34</f>
        <v>#DIV/0!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3" t="e">
        <f>V34/S34</f>
        <v>#DIV/0!</v>
      </c>
      <c r="X34" s="3" t="e">
        <f>V34/U34</f>
        <v>#DIV/0!</v>
      </c>
      <c r="Y34" s="4" t="e">
        <f>S34*6/U34</f>
        <v>#DIV/0!</v>
      </c>
      <c r="Z34" s="2">
        <v>0</v>
      </c>
      <c r="AA34" s="2">
        <v>0</v>
      </c>
      <c r="AB34" s="2">
        <v>0</v>
      </c>
      <c r="AC34" s="2">
        <v>0</v>
      </c>
    </row>
    <row r="35" spans="1:29" x14ac:dyDescent="0.35">
      <c r="A35" s="35" t="s">
        <v>1171</v>
      </c>
      <c r="B35" s="35" t="s">
        <v>1172</v>
      </c>
      <c r="C35">
        <f>D35+E35+F35+G35+H35+I35</f>
        <v>2</v>
      </c>
      <c r="D35" s="5">
        <v>0</v>
      </c>
      <c r="E35" s="5">
        <v>0</v>
      </c>
      <c r="F35" s="5">
        <v>0</v>
      </c>
      <c r="G35" s="5">
        <v>2</v>
      </c>
      <c r="H35" s="5">
        <v>0</v>
      </c>
      <c r="I35" s="5">
        <v>0</v>
      </c>
      <c r="J35" s="5">
        <v>1</v>
      </c>
      <c r="K35">
        <f>J35+L35</f>
        <v>2</v>
      </c>
      <c r="L35" s="5">
        <v>1</v>
      </c>
      <c r="M35" s="5">
        <v>0</v>
      </c>
      <c r="N35" s="5">
        <v>17</v>
      </c>
      <c r="O35" s="3">
        <f>N35/J35</f>
        <v>17</v>
      </c>
      <c r="P35" s="5">
        <v>0</v>
      </c>
      <c r="Q35" s="5">
        <v>0</v>
      </c>
      <c r="R35" s="5">
        <v>14</v>
      </c>
      <c r="S35" s="35">
        <v>9</v>
      </c>
      <c r="T35" s="35">
        <v>0</v>
      </c>
      <c r="U35" s="35">
        <v>3</v>
      </c>
      <c r="V35" s="35">
        <v>49</v>
      </c>
      <c r="W35" s="3">
        <f>49/9</f>
        <v>5.4444444444444446</v>
      </c>
      <c r="X35" s="3">
        <v>16.329999999999998</v>
      </c>
      <c r="Y35" s="4">
        <f>54/3</f>
        <v>18</v>
      </c>
      <c r="Z35" s="35" t="s">
        <v>1173</v>
      </c>
      <c r="AA35" s="35">
        <v>0</v>
      </c>
      <c r="AB35" s="5">
        <v>0</v>
      </c>
      <c r="AC35" s="5">
        <v>0</v>
      </c>
    </row>
    <row r="36" spans="1:29" x14ac:dyDescent="0.35">
      <c r="A36" s="1" t="s">
        <v>57</v>
      </c>
      <c r="B36" s="1" t="s">
        <v>58</v>
      </c>
      <c r="C36">
        <f>D36+E36+F36+G36+H36+I36</f>
        <v>2</v>
      </c>
      <c r="D36" s="2">
        <v>0</v>
      </c>
      <c r="E36" s="2">
        <v>0</v>
      </c>
      <c r="F36" s="2">
        <v>0</v>
      </c>
      <c r="G36" s="2">
        <v>2</v>
      </c>
      <c r="H36" s="2">
        <v>0</v>
      </c>
      <c r="I36" s="2">
        <v>0</v>
      </c>
      <c r="J36" s="2">
        <v>1</v>
      </c>
      <c r="K36">
        <f>J36+L36</f>
        <v>1</v>
      </c>
      <c r="L36" s="2">
        <v>0</v>
      </c>
      <c r="M36" s="2">
        <v>1</v>
      </c>
      <c r="N36" s="2">
        <v>3</v>
      </c>
      <c r="O36" s="3">
        <f>N36/J36</f>
        <v>3</v>
      </c>
      <c r="P36" s="2">
        <v>0</v>
      </c>
      <c r="Q36" s="2">
        <v>0</v>
      </c>
      <c r="R36" s="2">
        <v>3</v>
      </c>
      <c r="S36" s="2">
        <v>5</v>
      </c>
      <c r="T36" s="2">
        <v>1</v>
      </c>
      <c r="U36" s="2">
        <v>1</v>
      </c>
      <c r="V36" s="2">
        <v>14</v>
      </c>
      <c r="W36" s="3">
        <f>V36/S36</f>
        <v>2.8</v>
      </c>
      <c r="X36" s="3">
        <f>V36/U36</f>
        <v>14</v>
      </c>
      <c r="Y36" s="4">
        <f>S36*6/U36</f>
        <v>30</v>
      </c>
      <c r="Z36" s="2">
        <v>1</v>
      </c>
      <c r="AA36" s="2">
        <v>0</v>
      </c>
      <c r="AB36" s="2">
        <v>0</v>
      </c>
      <c r="AC36" s="2">
        <v>0</v>
      </c>
    </row>
    <row r="37" spans="1:29" x14ac:dyDescent="0.35">
      <c r="A37" s="1" t="s">
        <v>59</v>
      </c>
      <c r="B37" s="1" t="s">
        <v>60</v>
      </c>
      <c r="C37">
        <f>D37+E37+F37+G37+H37+I37</f>
        <v>1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1</v>
      </c>
      <c r="K37">
        <f>J37+L37</f>
        <v>1</v>
      </c>
      <c r="L37" s="2">
        <v>0</v>
      </c>
      <c r="M37" s="2">
        <v>0</v>
      </c>
      <c r="N37" s="2">
        <v>6</v>
      </c>
      <c r="O37" s="3">
        <f>N37/J37</f>
        <v>6</v>
      </c>
      <c r="P37" s="2">
        <v>0</v>
      </c>
      <c r="Q37" s="2">
        <v>0</v>
      </c>
      <c r="R37" s="2">
        <v>6</v>
      </c>
      <c r="S37" s="2">
        <v>0</v>
      </c>
      <c r="T37" s="2">
        <v>0</v>
      </c>
      <c r="U37" s="2">
        <v>0</v>
      </c>
      <c r="V37" s="2">
        <v>0</v>
      </c>
      <c r="W37" s="3" t="e">
        <f>V37/S37</f>
        <v>#DIV/0!</v>
      </c>
      <c r="X37" s="3" t="e">
        <f>V37/U37</f>
        <v>#DIV/0!</v>
      </c>
      <c r="Y37" s="4" t="e">
        <f>S37*6/U37</f>
        <v>#DIV/0!</v>
      </c>
      <c r="Z37" s="2">
        <v>0</v>
      </c>
      <c r="AA37" s="2">
        <v>0</v>
      </c>
      <c r="AB37" s="2">
        <v>0</v>
      </c>
      <c r="AC37" s="2">
        <v>0</v>
      </c>
    </row>
    <row r="38" spans="1:29" x14ac:dyDescent="0.35">
      <c r="A38" s="1" t="s">
        <v>61</v>
      </c>
      <c r="B38" s="1" t="s">
        <v>62</v>
      </c>
      <c r="C38">
        <f>D38+E38+F38+G38+H38+I38</f>
        <v>14</v>
      </c>
      <c r="D38" s="2">
        <v>0</v>
      </c>
      <c r="E38" s="2">
        <v>7</v>
      </c>
      <c r="F38" s="2">
        <v>7</v>
      </c>
      <c r="G38" s="2">
        <v>0</v>
      </c>
      <c r="H38" s="2">
        <v>0</v>
      </c>
      <c r="I38" s="2">
        <v>0</v>
      </c>
      <c r="J38" s="2">
        <v>10</v>
      </c>
      <c r="K38">
        <f>J38+L38</f>
        <v>11</v>
      </c>
      <c r="L38" s="2">
        <v>1</v>
      </c>
      <c r="M38" s="2">
        <v>2</v>
      </c>
      <c r="N38" s="2">
        <v>351</v>
      </c>
      <c r="O38" s="3">
        <f>N38/J38</f>
        <v>35.1</v>
      </c>
      <c r="P38" s="2">
        <v>1</v>
      </c>
      <c r="Q38" s="2">
        <v>1</v>
      </c>
      <c r="R38" s="2">
        <v>105</v>
      </c>
      <c r="S38" s="2">
        <v>77</v>
      </c>
      <c r="T38" s="2">
        <v>8</v>
      </c>
      <c r="U38" s="2">
        <v>9</v>
      </c>
      <c r="V38" s="2">
        <v>284</v>
      </c>
      <c r="W38" s="3">
        <f>V38/S38</f>
        <v>3.6883116883116882</v>
      </c>
      <c r="X38" s="3">
        <f>V38/U38</f>
        <v>31.555555555555557</v>
      </c>
      <c r="Y38" s="4">
        <f>S38*6/U38</f>
        <v>51.333333333333336</v>
      </c>
      <c r="Z38" s="2">
        <v>5</v>
      </c>
      <c r="AA38" s="2">
        <v>1</v>
      </c>
      <c r="AB38" s="2">
        <v>0</v>
      </c>
      <c r="AC38" s="2">
        <v>14</v>
      </c>
    </row>
    <row r="39" spans="1:29" x14ac:dyDescent="0.35">
      <c r="A39" s="1" t="s">
        <v>63</v>
      </c>
      <c r="B39" s="1" t="s">
        <v>64</v>
      </c>
      <c r="C39">
        <f>D39+E39+F39+G39+H39+I39</f>
        <v>25</v>
      </c>
      <c r="D39" s="2">
        <v>25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21</v>
      </c>
      <c r="K39">
        <f>J39+L39</f>
        <v>23</v>
      </c>
      <c r="L39" s="2">
        <v>2</v>
      </c>
      <c r="M39" s="2">
        <v>3</v>
      </c>
      <c r="N39" s="2">
        <v>716</v>
      </c>
      <c r="O39" s="3">
        <f>N39/J39</f>
        <v>34.095238095238095</v>
      </c>
      <c r="P39" s="2">
        <v>7</v>
      </c>
      <c r="Q39" s="2">
        <v>0</v>
      </c>
      <c r="R39" s="2">
        <v>92</v>
      </c>
      <c r="S39" s="2">
        <v>34</v>
      </c>
      <c r="T39" s="2">
        <v>3</v>
      </c>
      <c r="U39" s="2">
        <v>2</v>
      </c>
      <c r="V39" s="2">
        <v>115</v>
      </c>
      <c r="W39" s="3">
        <f>V39/S39</f>
        <v>3.3823529411764706</v>
      </c>
      <c r="X39" s="3">
        <f>V39/U39</f>
        <v>57.5</v>
      </c>
      <c r="Y39" s="4">
        <f>S39*6/U39</f>
        <v>102</v>
      </c>
      <c r="Z39" s="2">
        <v>1</v>
      </c>
      <c r="AA39" s="2">
        <v>0</v>
      </c>
      <c r="AB39" s="2">
        <v>0</v>
      </c>
      <c r="AC39" s="2">
        <v>3</v>
      </c>
    </row>
    <row r="40" spans="1:29" x14ac:dyDescent="0.35">
      <c r="A40" s="1" t="s">
        <v>65</v>
      </c>
      <c r="B40" s="1" t="s">
        <v>67</v>
      </c>
      <c r="C40">
        <f>D40+E40+F40+G40+H40+I40</f>
        <v>12</v>
      </c>
      <c r="D40" s="2">
        <v>3</v>
      </c>
      <c r="E40" s="2">
        <v>6</v>
      </c>
      <c r="F40" s="2">
        <v>3</v>
      </c>
      <c r="G40" s="2">
        <v>0</v>
      </c>
      <c r="H40" s="2">
        <v>0</v>
      </c>
      <c r="I40" s="2">
        <v>0</v>
      </c>
      <c r="J40" s="2">
        <v>4</v>
      </c>
      <c r="K40">
        <f>J40+L40</f>
        <v>6</v>
      </c>
      <c r="L40" s="2">
        <v>2</v>
      </c>
      <c r="M40" s="2">
        <v>6</v>
      </c>
      <c r="N40" s="2">
        <v>14</v>
      </c>
      <c r="O40" s="3">
        <f>N40/J40</f>
        <v>3.5</v>
      </c>
      <c r="P40" s="2">
        <v>0</v>
      </c>
      <c r="Q40" s="2">
        <v>0</v>
      </c>
      <c r="R40" s="2">
        <v>8</v>
      </c>
      <c r="S40" s="2">
        <v>136</v>
      </c>
      <c r="T40" s="2">
        <v>26</v>
      </c>
      <c r="U40" s="2">
        <v>16</v>
      </c>
      <c r="V40" s="2">
        <v>442</v>
      </c>
      <c r="W40" s="3">
        <f>V40/S40</f>
        <v>3.25</v>
      </c>
      <c r="X40" s="3">
        <f>V40/U40</f>
        <v>27.625</v>
      </c>
      <c r="Y40" s="4">
        <f>S40*6/U40</f>
        <v>51</v>
      </c>
      <c r="Z40" s="2">
        <v>3</v>
      </c>
      <c r="AA40" s="2">
        <v>0</v>
      </c>
      <c r="AB40" s="2">
        <v>0</v>
      </c>
      <c r="AC40" s="2">
        <v>2</v>
      </c>
    </row>
    <row r="41" spans="1:29" x14ac:dyDescent="0.35">
      <c r="A41" s="1" t="s">
        <v>65</v>
      </c>
      <c r="B41" s="1" t="s">
        <v>66</v>
      </c>
      <c r="C41">
        <f>D41+E41+F41+G41+H41+I41</f>
        <v>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>
        <f>J41+L41</f>
        <v>0</v>
      </c>
      <c r="L41" s="2">
        <v>0</v>
      </c>
      <c r="M41" s="2">
        <v>1</v>
      </c>
      <c r="N41" s="2">
        <v>0</v>
      </c>
      <c r="O41" s="3" t="e">
        <f>N41/J41</f>
        <v>#DIV/0!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3" t="e">
        <f>V41/S41</f>
        <v>#DIV/0!</v>
      </c>
      <c r="X41" s="3" t="e">
        <f>V41/U41</f>
        <v>#DIV/0!</v>
      </c>
      <c r="Y41" s="4" t="e">
        <f>S41*6/U41</f>
        <v>#DIV/0!</v>
      </c>
      <c r="Z41" s="2">
        <v>0</v>
      </c>
      <c r="AA41" s="2">
        <v>0</v>
      </c>
      <c r="AB41" s="2">
        <v>0</v>
      </c>
      <c r="AC41" s="2">
        <v>0</v>
      </c>
    </row>
    <row r="42" spans="1:29" x14ac:dyDescent="0.35">
      <c r="A42" s="1" t="s">
        <v>68</v>
      </c>
      <c r="B42" s="1" t="s">
        <v>8</v>
      </c>
      <c r="C42">
        <f>D42+E42+F42+G42+H42+I42</f>
        <v>1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>
        <f>J42+L42</f>
        <v>0</v>
      </c>
      <c r="L42" s="2">
        <v>0</v>
      </c>
      <c r="M42" s="2">
        <v>1</v>
      </c>
      <c r="N42" s="2">
        <v>0</v>
      </c>
      <c r="O42" s="3" t="e">
        <f>N42/J42</f>
        <v>#DIV/0!</v>
      </c>
      <c r="P42" s="2">
        <v>0</v>
      </c>
      <c r="Q42" s="2">
        <v>0</v>
      </c>
      <c r="R42" s="2">
        <v>0</v>
      </c>
      <c r="S42" s="2">
        <v>7</v>
      </c>
      <c r="T42" s="2">
        <v>2</v>
      </c>
      <c r="U42" s="2">
        <v>1</v>
      </c>
      <c r="V42" s="2">
        <v>19</v>
      </c>
      <c r="W42" s="3">
        <f>V42/S42</f>
        <v>2.7142857142857144</v>
      </c>
      <c r="X42" s="3">
        <f>V42/U42</f>
        <v>19</v>
      </c>
      <c r="Y42" s="4">
        <f>S42*6/U42</f>
        <v>42</v>
      </c>
      <c r="Z42" s="2">
        <v>1</v>
      </c>
      <c r="AA42" s="2">
        <v>0</v>
      </c>
      <c r="AB42" s="2">
        <v>0</v>
      </c>
      <c r="AC42" s="2">
        <v>0</v>
      </c>
    </row>
    <row r="43" spans="1:29" x14ac:dyDescent="0.35">
      <c r="A43" s="37" t="s">
        <v>1374</v>
      </c>
      <c r="B43" s="37" t="s">
        <v>1375</v>
      </c>
      <c r="C43" s="18">
        <f>D43+E43+F43+G43+H43+I43</f>
        <v>25</v>
      </c>
      <c r="D43" s="21">
        <v>0</v>
      </c>
      <c r="E43" s="21">
        <v>0</v>
      </c>
      <c r="F43" s="21">
        <v>15</v>
      </c>
      <c r="G43" s="21">
        <v>10</v>
      </c>
      <c r="H43" s="21">
        <v>0</v>
      </c>
      <c r="I43" s="21">
        <v>0</v>
      </c>
      <c r="J43" s="21">
        <f>15+8</f>
        <v>23</v>
      </c>
      <c r="K43" s="18">
        <f>J43+L43</f>
        <v>25</v>
      </c>
      <c r="L43" s="21">
        <v>2</v>
      </c>
      <c r="M43" s="21">
        <v>1</v>
      </c>
      <c r="N43" s="21">
        <f>256+148</f>
        <v>404</v>
      </c>
      <c r="O43" s="19">
        <f>N43/J43</f>
        <v>17.565217391304348</v>
      </c>
      <c r="P43" s="21">
        <v>1</v>
      </c>
      <c r="Q43" s="21">
        <v>0</v>
      </c>
      <c r="R43" s="21">
        <v>78</v>
      </c>
      <c r="S43" s="37">
        <v>25.4</v>
      </c>
      <c r="T43" s="37">
        <v>2</v>
      </c>
      <c r="U43" s="37">
        <v>8</v>
      </c>
      <c r="V43" s="37">
        <v>147</v>
      </c>
      <c r="W43" s="19">
        <f>V43/S43</f>
        <v>5.78740157480315</v>
      </c>
      <c r="X43" s="19">
        <f>V43/U43</f>
        <v>18.375</v>
      </c>
      <c r="Y43" s="19">
        <f>S43*6/U43</f>
        <v>19.049999999999997</v>
      </c>
      <c r="Z43" s="37" t="s">
        <v>1113</v>
      </c>
      <c r="AA43" s="37">
        <v>1</v>
      </c>
      <c r="AB43" s="21">
        <v>0</v>
      </c>
      <c r="AC43" s="21">
        <v>13</v>
      </c>
    </row>
    <row r="44" spans="1:29" x14ac:dyDescent="0.35">
      <c r="A44" s="1" t="s">
        <v>69</v>
      </c>
      <c r="B44" s="1" t="s">
        <v>70</v>
      </c>
      <c r="C44">
        <f>D44+E44+F44+G44+H44+I44</f>
        <v>7</v>
      </c>
      <c r="D44" s="2">
        <v>0</v>
      </c>
      <c r="E44" s="2">
        <v>7</v>
      </c>
      <c r="F44" s="2">
        <v>0</v>
      </c>
      <c r="G44" s="2">
        <v>0</v>
      </c>
      <c r="H44" s="2">
        <v>0</v>
      </c>
      <c r="I44" s="2">
        <v>0</v>
      </c>
      <c r="J44" s="2">
        <v>4</v>
      </c>
      <c r="K44">
        <f>J44+L44</f>
        <v>7</v>
      </c>
      <c r="L44" s="2">
        <v>3</v>
      </c>
      <c r="M44" s="2">
        <v>1</v>
      </c>
      <c r="N44" s="2">
        <v>5</v>
      </c>
      <c r="O44" s="3">
        <f>N44/J44</f>
        <v>1.25</v>
      </c>
      <c r="P44" s="2">
        <v>0</v>
      </c>
      <c r="Q44" s="2">
        <v>0</v>
      </c>
      <c r="R44" s="2">
        <v>3</v>
      </c>
      <c r="S44" s="2">
        <v>2</v>
      </c>
      <c r="T44" s="2">
        <v>0</v>
      </c>
      <c r="U44" s="2">
        <v>0</v>
      </c>
      <c r="V44" s="2">
        <v>35</v>
      </c>
      <c r="W44" s="3">
        <f>V44/S44</f>
        <v>17.5</v>
      </c>
      <c r="X44" s="3" t="e">
        <f>V44/U44</f>
        <v>#DIV/0!</v>
      </c>
      <c r="Y44" s="4" t="e">
        <f>S44*6/U44</f>
        <v>#DIV/0!</v>
      </c>
      <c r="Z44" s="2">
        <v>0</v>
      </c>
      <c r="AA44" s="2">
        <v>0</v>
      </c>
      <c r="AB44" s="2">
        <v>0</v>
      </c>
      <c r="AC44" s="2">
        <v>1</v>
      </c>
    </row>
    <row r="45" spans="1:29" x14ac:dyDescent="0.35">
      <c r="A45" s="1" t="s">
        <v>69</v>
      </c>
      <c r="B45" s="1" t="s">
        <v>71</v>
      </c>
      <c r="C45">
        <f>D45+E45+F45+G45+H45+I45</f>
        <v>21</v>
      </c>
      <c r="D45" s="2">
        <v>0</v>
      </c>
      <c r="E45" s="2">
        <v>11</v>
      </c>
      <c r="F45" s="2">
        <v>10</v>
      </c>
      <c r="G45" s="2">
        <v>0</v>
      </c>
      <c r="H45" s="2">
        <v>0</v>
      </c>
      <c r="I45" s="2">
        <v>0</v>
      </c>
      <c r="J45" s="2">
        <v>17</v>
      </c>
      <c r="K45">
        <f>J45+L45</f>
        <v>24</v>
      </c>
      <c r="L45" s="2">
        <v>7</v>
      </c>
      <c r="M45" s="2">
        <v>1</v>
      </c>
      <c r="N45" s="2">
        <v>119</v>
      </c>
      <c r="O45" s="3">
        <f>N45/J45</f>
        <v>7</v>
      </c>
      <c r="P45" s="2">
        <v>0</v>
      </c>
      <c r="Q45" s="2">
        <v>0</v>
      </c>
      <c r="R45" s="2">
        <v>27</v>
      </c>
      <c r="S45" s="2">
        <v>181</v>
      </c>
      <c r="T45" s="2">
        <v>27</v>
      </c>
      <c r="U45" s="2">
        <v>23</v>
      </c>
      <c r="V45" s="2">
        <v>836</v>
      </c>
      <c r="W45" s="3">
        <f>V45/S45</f>
        <v>4.6187845303867405</v>
      </c>
      <c r="X45" s="3">
        <f>V45/U45</f>
        <v>36.347826086956523</v>
      </c>
      <c r="Y45" s="4">
        <f>S45*6/U45</f>
        <v>47.217391304347828</v>
      </c>
      <c r="Z45" s="2">
        <v>4</v>
      </c>
      <c r="AA45" s="2">
        <v>0</v>
      </c>
      <c r="AB45" s="2">
        <v>0</v>
      </c>
      <c r="AC45" s="2">
        <v>0</v>
      </c>
    </row>
    <row r="46" spans="1:29" x14ac:dyDescent="0.35">
      <c r="A46" s="1" t="s">
        <v>69</v>
      </c>
      <c r="B46" s="1" t="s">
        <v>72</v>
      </c>
      <c r="C46">
        <f>D46+E46+F46+G46+H46+I46</f>
        <v>6</v>
      </c>
      <c r="D46" s="2">
        <v>0</v>
      </c>
      <c r="E46" s="2">
        <v>6</v>
      </c>
      <c r="F46" s="2">
        <v>0</v>
      </c>
      <c r="G46" s="2">
        <v>0</v>
      </c>
      <c r="H46" s="2">
        <v>0</v>
      </c>
      <c r="I46" s="2">
        <v>0</v>
      </c>
      <c r="J46" s="2">
        <v>3</v>
      </c>
      <c r="K46">
        <f>J46+L46</f>
        <v>4</v>
      </c>
      <c r="L46" s="2">
        <v>1</v>
      </c>
      <c r="M46" s="2">
        <v>3</v>
      </c>
      <c r="N46" s="2">
        <v>5</v>
      </c>
      <c r="O46" s="3">
        <f>N46/J46</f>
        <v>1.6666666666666667</v>
      </c>
      <c r="P46" s="2">
        <v>0</v>
      </c>
      <c r="Q46" s="2">
        <v>0</v>
      </c>
      <c r="R46" s="2">
        <v>3</v>
      </c>
      <c r="S46" s="2">
        <v>5</v>
      </c>
      <c r="T46" s="2">
        <v>1</v>
      </c>
      <c r="U46" s="2">
        <v>1</v>
      </c>
      <c r="V46" s="2">
        <v>27</v>
      </c>
      <c r="W46" s="3">
        <f>V46/S46</f>
        <v>5.4</v>
      </c>
      <c r="X46" s="3">
        <f>V46/U46</f>
        <v>27</v>
      </c>
      <c r="Y46" s="4">
        <f>S46*6/U46</f>
        <v>30</v>
      </c>
      <c r="Z46" s="2">
        <v>1</v>
      </c>
      <c r="AA46" s="2">
        <v>0</v>
      </c>
      <c r="AB46" s="2">
        <v>0</v>
      </c>
      <c r="AC46" s="2">
        <v>0</v>
      </c>
    </row>
    <row r="47" spans="1:29" x14ac:dyDescent="0.35">
      <c r="A47" s="1" t="s">
        <v>73</v>
      </c>
      <c r="B47" s="1" t="s">
        <v>74</v>
      </c>
      <c r="C47">
        <f>D47+E47+F47+G47+H47+I47</f>
        <v>2</v>
      </c>
      <c r="D47" s="2">
        <v>0</v>
      </c>
      <c r="E47" s="2">
        <v>0</v>
      </c>
      <c r="F47" s="2">
        <v>2</v>
      </c>
      <c r="G47" s="2">
        <v>0</v>
      </c>
      <c r="H47" s="2">
        <v>0</v>
      </c>
      <c r="I47" s="2">
        <v>0</v>
      </c>
      <c r="J47" s="2">
        <v>1</v>
      </c>
      <c r="K47">
        <f>J47+L47</f>
        <v>2</v>
      </c>
      <c r="L47" s="2">
        <v>1</v>
      </c>
      <c r="M47" s="2">
        <v>1</v>
      </c>
      <c r="N47" s="2">
        <v>16</v>
      </c>
      <c r="O47" s="3">
        <f>N47/J47</f>
        <v>16</v>
      </c>
      <c r="P47" s="2">
        <v>0</v>
      </c>
      <c r="Q47" s="2">
        <v>0</v>
      </c>
      <c r="R47" s="2">
        <v>9</v>
      </c>
      <c r="S47" s="2">
        <v>9</v>
      </c>
      <c r="T47" s="2">
        <v>0</v>
      </c>
      <c r="U47" s="2">
        <v>1</v>
      </c>
      <c r="V47" s="2">
        <v>25</v>
      </c>
      <c r="W47" s="3">
        <f>V47/S47</f>
        <v>2.7777777777777777</v>
      </c>
      <c r="X47" s="3">
        <f>V47/U47</f>
        <v>25</v>
      </c>
      <c r="Y47" s="4">
        <f>S47*6/U47</f>
        <v>54</v>
      </c>
      <c r="Z47" s="2">
        <v>1</v>
      </c>
      <c r="AA47" s="2">
        <v>0</v>
      </c>
      <c r="AB47" s="2">
        <v>0</v>
      </c>
      <c r="AC47" s="2">
        <v>0</v>
      </c>
    </row>
    <row r="48" spans="1:29" x14ac:dyDescent="0.35">
      <c r="A48" s="1" t="s">
        <v>73</v>
      </c>
      <c r="B48" s="1" t="s">
        <v>75</v>
      </c>
      <c r="C48">
        <f>D48+E48+F48+G48+H48+I48</f>
        <v>3</v>
      </c>
      <c r="D48" s="2">
        <v>0</v>
      </c>
      <c r="E48" s="2">
        <v>2</v>
      </c>
      <c r="F48" s="2">
        <v>0</v>
      </c>
      <c r="G48" s="2">
        <v>1</v>
      </c>
      <c r="H48" s="2">
        <v>0</v>
      </c>
      <c r="I48" s="2">
        <v>0</v>
      </c>
      <c r="J48" s="2">
        <v>3</v>
      </c>
      <c r="K48">
        <f>J48+L48</f>
        <v>3</v>
      </c>
      <c r="L48" s="2">
        <v>0</v>
      </c>
      <c r="M48" s="2">
        <v>0</v>
      </c>
      <c r="N48" s="2">
        <v>15</v>
      </c>
      <c r="O48" s="3">
        <f>N48/J48</f>
        <v>5</v>
      </c>
      <c r="P48" s="2">
        <v>0</v>
      </c>
      <c r="Q48" s="2">
        <v>0</v>
      </c>
      <c r="R48" s="2">
        <v>14</v>
      </c>
      <c r="S48" s="2">
        <v>5</v>
      </c>
      <c r="T48" s="2">
        <v>0</v>
      </c>
      <c r="U48" s="2">
        <v>1</v>
      </c>
      <c r="V48" s="2">
        <v>17</v>
      </c>
      <c r="W48" s="3">
        <f>V48/S48</f>
        <v>3.4</v>
      </c>
      <c r="X48" s="3">
        <f>V48/U48</f>
        <v>17</v>
      </c>
      <c r="Y48" s="4">
        <f>S48*6/U48</f>
        <v>30</v>
      </c>
      <c r="Z48" s="2">
        <v>1</v>
      </c>
      <c r="AA48" s="2">
        <v>0</v>
      </c>
      <c r="AB48" s="2">
        <v>0</v>
      </c>
      <c r="AC48" s="2">
        <v>0</v>
      </c>
    </row>
    <row r="49" spans="1:29" x14ac:dyDescent="0.35">
      <c r="A49" s="1" t="s">
        <v>76</v>
      </c>
      <c r="B49" s="1" t="s">
        <v>77</v>
      </c>
      <c r="C49">
        <f>D49+E49+F49+G49+H49+I49</f>
        <v>2</v>
      </c>
      <c r="D49" s="2">
        <v>0</v>
      </c>
      <c r="E49" s="2">
        <v>0</v>
      </c>
      <c r="F49" s="2">
        <v>0</v>
      </c>
      <c r="G49" s="2">
        <v>0</v>
      </c>
      <c r="H49" s="2">
        <v>2</v>
      </c>
      <c r="I49" s="2">
        <v>0</v>
      </c>
      <c r="J49" s="2">
        <v>0</v>
      </c>
      <c r="K49">
        <f>J49+L49</f>
        <v>2</v>
      </c>
      <c r="L49" s="2">
        <v>2</v>
      </c>
      <c r="M49" s="2">
        <v>0</v>
      </c>
      <c r="N49" s="2">
        <v>39</v>
      </c>
      <c r="O49" s="3" t="e">
        <f>N49/J49</f>
        <v>#DIV/0!</v>
      </c>
      <c r="P49" s="2">
        <v>0</v>
      </c>
      <c r="Q49" s="2">
        <v>0</v>
      </c>
      <c r="R49" s="2">
        <v>21</v>
      </c>
      <c r="S49" s="2">
        <v>0</v>
      </c>
      <c r="T49" s="2">
        <v>0</v>
      </c>
      <c r="U49" s="2">
        <v>0</v>
      </c>
      <c r="V49" s="2">
        <v>0</v>
      </c>
      <c r="W49" s="3" t="e">
        <f>V49/S49</f>
        <v>#DIV/0!</v>
      </c>
      <c r="X49" s="3" t="e">
        <f>V49/U49</f>
        <v>#DIV/0!</v>
      </c>
      <c r="Y49" s="4" t="e">
        <f>S49*6/U49</f>
        <v>#DIV/0!</v>
      </c>
      <c r="Z49" s="2">
        <v>0</v>
      </c>
      <c r="AA49" s="2">
        <v>0</v>
      </c>
      <c r="AB49" s="2">
        <v>0</v>
      </c>
      <c r="AC49" s="2">
        <v>0</v>
      </c>
    </row>
    <row r="50" spans="1:29" x14ac:dyDescent="0.35">
      <c r="A50" s="1" t="s">
        <v>78</v>
      </c>
      <c r="B50" s="1" t="s">
        <v>79</v>
      </c>
      <c r="C50">
        <f>D50+E50+F50+G50+H50+I50</f>
        <v>26</v>
      </c>
      <c r="D50" s="2">
        <v>0</v>
      </c>
      <c r="E50" s="2">
        <v>0</v>
      </c>
      <c r="F50" s="2">
        <v>1</v>
      </c>
      <c r="G50" s="2">
        <v>11</v>
      </c>
      <c r="H50" s="2">
        <v>13</v>
      </c>
      <c r="I50" s="2">
        <v>1</v>
      </c>
      <c r="J50" s="2">
        <v>12</v>
      </c>
      <c r="K50">
        <f>J50+L50</f>
        <v>20</v>
      </c>
      <c r="L50" s="2">
        <v>8</v>
      </c>
      <c r="M50" s="2">
        <v>9</v>
      </c>
      <c r="N50" s="2">
        <v>142</v>
      </c>
      <c r="O50" s="3">
        <f>N50/J50</f>
        <v>11.833333333333334</v>
      </c>
      <c r="P50" s="2">
        <v>0</v>
      </c>
      <c r="Q50" s="2">
        <v>0</v>
      </c>
      <c r="R50" s="2">
        <v>25</v>
      </c>
      <c r="S50" s="2">
        <v>218</v>
      </c>
      <c r="T50" s="2">
        <v>34</v>
      </c>
      <c r="U50" s="2">
        <v>31</v>
      </c>
      <c r="V50" s="2">
        <v>802</v>
      </c>
      <c r="W50" s="3">
        <f>V50/S50</f>
        <v>3.6788990825688073</v>
      </c>
      <c r="X50" s="3">
        <f>V50/U50</f>
        <v>25.870967741935484</v>
      </c>
      <c r="Y50" s="4">
        <f>S50*6/U50</f>
        <v>42.193548387096776</v>
      </c>
      <c r="Z50" s="2">
        <v>4</v>
      </c>
      <c r="AA50" s="2">
        <v>0</v>
      </c>
      <c r="AB50" s="2">
        <v>0</v>
      </c>
      <c r="AC50" s="2">
        <v>3</v>
      </c>
    </row>
    <row r="51" spans="1:29" x14ac:dyDescent="0.35">
      <c r="A51" s="1" t="s">
        <v>80</v>
      </c>
      <c r="B51" s="1" t="s">
        <v>81</v>
      </c>
      <c r="C51">
        <f>D51+E51+F51+G51+H51+I51</f>
        <v>3</v>
      </c>
      <c r="D51" s="2">
        <v>3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3</v>
      </c>
      <c r="K51" s="35">
        <f>J51+L51</f>
        <v>3</v>
      </c>
      <c r="L51" s="2">
        <v>0</v>
      </c>
      <c r="M51" s="2">
        <v>0</v>
      </c>
      <c r="N51" s="2">
        <v>56</v>
      </c>
      <c r="O51" s="3">
        <f>N51/J51</f>
        <v>18.666666666666668</v>
      </c>
      <c r="P51" s="2">
        <v>0</v>
      </c>
      <c r="Q51" s="2">
        <v>0</v>
      </c>
      <c r="R51" s="2">
        <v>49</v>
      </c>
      <c r="S51" s="2">
        <v>16</v>
      </c>
      <c r="T51" s="2">
        <v>2</v>
      </c>
      <c r="U51" s="2">
        <v>2</v>
      </c>
      <c r="V51" s="2">
        <v>48</v>
      </c>
      <c r="W51" s="3">
        <f>V51/S51</f>
        <v>3</v>
      </c>
      <c r="X51" s="3">
        <f>V51/U51</f>
        <v>24</v>
      </c>
      <c r="Y51" s="4">
        <f>S51*6/U51</f>
        <v>48</v>
      </c>
      <c r="Z51" s="2">
        <v>1</v>
      </c>
      <c r="AA51" s="2">
        <v>0</v>
      </c>
      <c r="AB51" s="2">
        <v>0</v>
      </c>
      <c r="AC51" s="2">
        <v>1</v>
      </c>
    </row>
    <row r="52" spans="1:29" x14ac:dyDescent="0.35">
      <c r="A52" s="1" t="s">
        <v>82</v>
      </c>
      <c r="B52" s="1" t="s">
        <v>83</v>
      </c>
      <c r="C52">
        <f>D52+E52+F52+G52+H52+I52</f>
        <v>48</v>
      </c>
      <c r="D52" s="2">
        <v>1</v>
      </c>
      <c r="E52" s="2">
        <v>5</v>
      </c>
      <c r="F52" s="2">
        <v>11</v>
      </c>
      <c r="G52" s="2">
        <v>1</v>
      </c>
      <c r="H52" s="2">
        <v>30</v>
      </c>
      <c r="I52" s="2">
        <v>0</v>
      </c>
      <c r="J52" s="2">
        <v>41</v>
      </c>
      <c r="K52">
        <f>J52+L52</f>
        <v>49</v>
      </c>
      <c r="L52" s="2">
        <v>8</v>
      </c>
      <c r="M52" s="2">
        <v>3</v>
      </c>
      <c r="N52" s="2">
        <v>2352</v>
      </c>
      <c r="O52" s="3">
        <f>N52/J52</f>
        <v>57.365853658536587</v>
      </c>
      <c r="P52" s="2">
        <v>10</v>
      </c>
      <c r="Q52" s="2">
        <v>8</v>
      </c>
      <c r="R52" s="2">
        <v>168</v>
      </c>
      <c r="S52" s="2">
        <v>462</v>
      </c>
      <c r="T52" s="2">
        <v>104</v>
      </c>
      <c r="U52" s="2">
        <v>88</v>
      </c>
      <c r="V52" s="2">
        <v>1167</v>
      </c>
      <c r="W52" s="3">
        <f>V52/S52</f>
        <v>2.5259740259740258</v>
      </c>
      <c r="X52" s="3">
        <f>V52/U52</f>
        <v>13.261363636363637</v>
      </c>
      <c r="Y52" s="4">
        <f>S52*6/U52</f>
        <v>31.5</v>
      </c>
      <c r="Z52" s="2">
        <v>6</v>
      </c>
      <c r="AA52" s="2">
        <v>3</v>
      </c>
      <c r="AB52" s="2">
        <v>0</v>
      </c>
      <c r="AC52" s="2">
        <v>4</v>
      </c>
    </row>
    <row r="53" spans="1:29" x14ac:dyDescent="0.35">
      <c r="A53" s="1" t="s">
        <v>84</v>
      </c>
      <c r="B53" s="1" t="s">
        <v>85</v>
      </c>
      <c r="C53">
        <f>D53+E53+F53+G53+H53+I53</f>
        <v>11</v>
      </c>
      <c r="D53" s="2">
        <v>11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8</v>
      </c>
      <c r="K53">
        <f>J53+L53</f>
        <v>10</v>
      </c>
      <c r="L53" s="2">
        <v>2</v>
      </c>
      <c r="M53" s="2">
        <v>1</v>
      </c>
      <c r="N53" s="2">
        <f>82+130</f>
        <v>212</v>
      </c>
      <c r="O53" s="3">
        <f>N53/J53</f>
        <v>26.5</v>
      </c>
      <c r="P53" s="2">
        <v>1</v>
      </c>
      <c r="Q53" s="2">
        <v>0</v>
      </c>
      <c r="R53" s="2" t="s">
        <v>1300</v>
      </c>
      <c r="S53" s="2">
        <f>61+64</f>
        <v>125</v>
      </c>
      <c r="T53" s="2">
        <v>31</v>
      </c>
      <c r="U53" s="2">
        <v>21</v>
      </c>
      <c r="V53" s="2">
        <f>142+102</f>
        <v>244</v>
      </c>
      <c r="W53" s="3">
        <f>V53/S53</f>
        <v>1.952</v>
      </c>
      <c r="X53" s="3">
        <f>V53/U53</f>
        <v>11.619047619047619</v>
      </c>
      <c r="Y53" s="4">
        <f>S53*6/U53</f>
        <v>35.714285714285715</v>
      </c>
      <c r="Z53" s="2">
        <v>6</v>
      </c>
      <c r="AA53" s="2">
        <v>1</v>
      </c>
      <c r="AB53" s="2">
        <v>0</v>
      </c>
      <c r="AC53" s="2">
        <v>3</v>
      </c>
    </row>
    <row r="54" spans="1:29" x14ac:dyDescent="0.35">
      <c r="A54" s="1" t="s">
        <v>86</v>
      </c>
      <c r="B54" s="1" t="s">
        <v>87</v>
      </c>
      <c r="C54">
        <f>D54+E54+F54+G54+H54+I54</f>
        <v>50</v>
      </c>
      <c r="D54" s="2">
        <v>27</v>
      </c>
      <c r="E54" s="2">
        <v>22</v>
      </c>
      <c r="F54" s="2">
        <v>1</v>
      </c>
      <c r="G54" s="2">
        <v>0</v>
      </c>
      <c r="H54" s="2">
        <v>0</v>
      </c>
      <c r="I54" s="2">
        <v>0</v>
      </c>
      <c r="J54" s="2">
        <v>48</v>
      </c>
      <c r="K54">
        <f>J54+L54</f>
        <v>50</v>
      </c>
      <c r="L54" s="2">
        <v>2</v>
      </c>
      <c r="M54" s="2">
        <v>4</v>
      </c>
      <c r="N54" s="2">
        <v>824</v>
      </c>
      <c r="O54" s="3">
        <f>N54/J54</f>
        <v>17.166666666666668</v>
      </c>
      <c r="P54" s="2">
        <v>2</v>
      </c>
      <c r="Q54" s="2">
        <v>0</v>
      </c>
      <c r="R54" s="2">
        <v>62</v>
      </c>
      <c r="S54" s="2">
        <v>11</v>
      </c>
      <c r="T54" s="2">
        <v>3</v>
      </c>
      <c r="U54" s="2">
        <v>2</v>
      </c>
      <c r="V54" s="2">
        <v>38</v>
      </c>
      <c r="W54" s="3">
        <f>V54/S54</f>
        <v>3.4545454545454546</v>
      </c>
      <c r="X54" s="3">
        <f>V54/U54</f>
        <v>19</v>
      </c>
      <c r="Y54" s="4">
        <f>S54*6/U54</f>
        <v>33</v>
      </c>
      <c r="Z54" s="2">
        <v>2</v>
      </c>
      <c r="AA54" s="2">
        <v>0</v>
      </c>
      <c r="AB54" s="2">
        <v>0</v>
      </c>
      <c r="AC54" s="2">
        <v>14</v>
      </c>
    </row>
    <row r="55" spans="1:29" x14ac:dyDescent="0.35">
      <c r="A55" s="1" t="s">
        <v>88</v>
      </c>
      <c r="B55" s="1" t="s">
        <v>89</v>
      </c>
      <c r="C55">
        <f>D55+E55+F55+G55+H55+I55</f>
        <v>47</v>
      </c>
      <c r="D55" s="2">
        <v>0</v>
      </c>
      <c r="E55" s="2">
        <v>0</v>
      </c>
      <c r="F55" s="2">
        <v>12</v>
      </c>
      <c r="G55" s="2">
        <v>26</v>
      </c>
      <c r="H55" s="2">
        <v>9</v>
      </c>
      <c r="I55" s="2">
        <v>0</v>
      </c>
      <c r="J55" s="2">
        <v>47</v>
      </c>
      <c r="K55">
        <f>J55+L55</f>
        <v>53</v>
      </c>
      <c r="L55" s="2">
        <v>6</v>
      </c>
      <c r="M55" s="2">
        <v>6</v>
      </c>
      <c r="N55" s="2">
        <v>832</v>
      </c>
      <c r="O55" s="3">
        <f>N55/J55</f>
        <v>17.702127659574469</v>
      </c>
      <c r="P55" s="2">
        <v>2</v>
      </c>
      <c r="Q55" s="2">
        <v>0</v>
      </c>
      <c r="R55" s="2">
        <v>67</v>
      </c>
      <c r="S55" s="2">
        <v>164</v>
      </c>
      <c r="T55" s="2">
        <v>15</v>
      </c>
      <c r="U55" s="2">
        <v>33</v>
      </c>
      <c r="V55" s="2">
        <v>739</v>
      </c>
      <c r="W55" s="3">
        <f>V55/S55</f>
        <v>4.5060975609756095</v>
      </c>
      <c r="X55" s="3">
        <f>V55/U55</f>
        <v>22.393939393939394</v>
      </c>
      <c r="Y55" s="4">
        <f>S55*6/U55</f>
        <v>29.818181818181817</v>
      </c>
      <c r="Z55" s="2">
        <v>6</v>
      </c>
      <c r="AA55" s="2">
        <v>2</v>
      </c>
      <c r="AB55" s="2">
        <v>0</v>
      </c>
      <c r="AC55" s="2">
        <v>9</v>
      </c>
    </row>
    <row r="56" spans="1:29" x14ac:dyDescent="0.35">
      <c r="A56" s="1" t="s">
        <v>90</v>
      </c>
      <c r="B56" s="1" t="s">
        <v>87</v>
      </c>
      <c r="C56">
        <f>D56+E56+F56+G56+H56+I56</f>
        <v>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4</v>
      </c>
      <c r="J56" s="2">
        <v>4</v>
      </c>
      <c r="K56">
        <f>J56+L56</f>
        <v>4</v>
      </c>
      <c r="L56" s="2">
        <v>0</v>
      </c>
      <c r="M56" s="2">
        <v>0</v>
      </c>
      <c r="N56" s="2">
        <v>11</v>
      </c>
      <c r="O56" s="3">
        <f>N56/J56</f>
        <v>2.75</v>
      </c>
      <c r="P56" s="2">
        <v>0</v>
      </c>
      <c r="Q56" s="2">
        <v>0</v>
      </c>
      <c r="R56" s="2">
        <v>5</v>
      </c>
      <c r="S56" s="2">
        <v>10</v>
      </c>
      <c r="T56" s="2">
        <v>1</v>
      </c>
      <c r="U56" s="2">
        <v>1</v>
      </c>
      <c r="V56" s="2">
        <v>55</v>
      </c>
      <c r="W56" s="3">
        <f>V56/S56</f>
        <v>5.5</v>
      </c>
      <c r="X56" s="3">
        <f>V56/U56</f>
        <v>55</v>
      </c>
      <c r="Y56" s="4">
        <f>S56*6/U56</f>
        <v>60</v>
      </c>
      <c r="Z56" s="2">
        <v>1</v>
      </c>
      <c r="AA56" s="2">
        <v>0</v>
      </c>
      <c r="AB56" s="2">
        <v>0</v>
      </c>
      <c r="AC56" s="2">
        <v>0</v>
      </c>
    </row>
    <row r="57" spans="1:29" x14ac:dyDescent="0.35">
      <c r="A57" s="1" t="s">
        <v>91</v>
      </c>
      <c r="B57" s="1" t="s">
        <v>92</v>
      </c>
      <c r="C57">
        <f>D57+E57+F57+G57+H57+I57</f>
        <v>7</v>
      </c>
      <c r="D57" s="2">
        <v>0</v>
      </c>
      <c r="E57" s="2">
        <v>0</v>
      </c>
      <c r="F57" s="2">
        <v>0</v>
      </c>
      <c r="G57" s="2">
        <v>0</v>
      </c>
      <c r="H57" s="2">
        <v>7</v>
      </c>
      <c r="I57" s="2">
        <v>0</v>
      </c>
      <c r="J57" s="2">
        <v>2</v>
      </c>
      <c r="K57">
        <f>J57+L57</f>
        <v>4</v>
      </c>
      <c r="L57" s="2">
        <v>2</v>
      </c>
      <c r="M57" s="2">
        <v>3</v>
      </c>
      <c r="N57" s="2">
        <v>29</v>
      </c>
      <c r="O57" s="3">
        <f>N57/J57</f>
        <v>14.5</v>
      </c>
      <c r="P57" s="2">
        <v>0</v>
      </c>
      <c r="Q57" s="2">
        <v>0</v>
      </c>
      <c r="R57" s="2">
        <v>19</v>
      </c>
      <c r="S57" s="2">
        <v>49</v>
      </c>
      <c r="T57" s="2">
        <v>6</v>
      </c>
      <c r="U57" s="2">
        <v>5</v>
      </c>
      <c r="V57" s="2">
        <v>202</v>
      </c>
      <c r="W57" s="3">
        <f>V57/S57</f>
        <v>4.1224489795918364</v>
      </c>
      <c r="X57" s="3">
        <f>V57/U57</f>
        <v>40.4</v>
      </c>
      <c r="Y57" s="4">
        <f>S57*6/U57</f>
        <v>58.8</v>
      </c>
      <c r="Z57" s="2">
        <v>2</v>
      </c>
      <c r="AA57" s="2">
        <v>0</v>
      </c>
      <c r="AB57" s="2">
        <v>0</v>
      </c>
      <c r="AC57" s="2">
        <v>0</v>
      </c>
    </row>
    <row r="58" spans="1:29" x14ac:dyDescent="0.35">
      <c r="A58" s="1" t="s">
        <v>93</v>
      </c>
      <c r="B58" s="1" t="s">
        <v>94</v>
      </c>
      <c r="C58">
        <f>D58+E58+F58+G58+H58+I58</f>
        <v>12</v>
      </c>
      <c r="D58" s="2">
        <v>0</v>
      </c>
      <c r="E58" s="2">
        <v>0</v>
      </c>
      <c r="F58" s="2">
        <v>1</v>
      </c>
      <c r="G58" s="2">
        <v>8</v>
      </c>
      <c r="H58" s="2">
        <v>1</v>
      </c>
      <c r="I58" s="2">
        <v>2</v>
      </c>
      <c r="J58" s="2">
        <v>10</v>
      </c>
      <c r="K58">
        <f>J58+L58</f>
        <v>11</v>
      </c>
      <c r="L58" s="2">
        <v>1</v>
      </c>
      <c r="M58" s="2">
        <v>0</v>
      </c>
      <c r="N58" s="2">
        <v>297</v>
      </c>
      <c r="O58" s="3">
        <f>N58/J58</f>
        <v>29.7</v>
      </c>
      <c r="P58" s="2">
        <v>3</v>
      </c>
      <c r="Q58" s="2">
        <v>0</v>
      </c>
      <c r="R58" s="2">
        <v>60</v>
      </c>
      <c r="S58" s="2">
        <v>0</v>
      </c>
      <c r="T58" s="2">
        <v>0</v>
      </c>
      <c r="U58" s="2">
        <v>0</v>
      </c>
      <c r="V58" s="2">
        <v>0</v>
      </c>
      <c r="W58" s="3" t="e">
        <f>V58/S58</f>
        <v>#DIV/0!</v>
      </c>
      <c r="X58" s="3" t="e">
        <f>V58/U58</f>
        <v>#DIV/0!</v>
      </c>
      <c r="Y58" s="4" t="e">
        <f>S58*6/U58</f>
        <v>#DIV/0!</v>
      </c>
      <c r="Z58" s="2">
        <v>0</v>
      </c>
      <c r="AA58" s="2">
        <v>0</v>
      </c>
      <c r="AB58" s="2">
        <v>0</v>
      </c>
      <c r="AC58" s="2">
        <v>1</v>
      </c>
    </row>
    <row r="59" spans="1:29" x14ac:dyDescent="0.35">
      <c r="A59" s="1" t="s">
        <v>95</v>
      </c>
      <c r="B59" s="1" t="s">
        <v>96</v>
      </c>
      <c r="C59">
        <f>D59+E59+F59+G59+H59+I59</f>
        <v>14</v>
      </c>
      <c r="D59" s="2">
        <v>0</v>
      </c>
      <c r="E59" s="2">
        <v>1</v>
      </c>
      <c r="F59" s="2">
        <v>2</v>
      </c>
      <c r="G59" s="2">
        <v>10</v>
      </c>
      <c r="H59" s="2">
        <v>1</v>
      </c>
      <c r="I59" s="2">
        <v>0</v>
      </c>
      <c r="J59" s="2">
        <v>12</v>
      </c>
      <c r="K59">
        <f>J59+L59</f>
        <v>13</v>
      </c>
      <c r="L59" s="2">
        <v>1</v>
      </c>
      <c r="M59" s="2">
        <v>0</v>
      </c>
      <c r="N59" s="2">
        <v>362</v>
      </c>
      <c r="O59" s="3">
        <f>N59/J59</f>
        <v>30.166666666666668</v>
      </c>
      <c r="P59" s="2">
        <v>2</v>
      </c>
      <c r="Q59" s="2">
        <v>0</v>
      </c>
      <c r="R59" s="2">
        <v>96</v>
      </c>
      <c r="S59" s="2">
        <v>3</v>
      </c>
      <c r="T59" s="2">
        <v>0</v>
      </c>
      <c r="U59" s="2">
        <v>0</v>
      </c>
      <c r="V59" s="2">
        <v>6</v>
      </c>
      <c r="W59" s="3">
        <f>V59/S59</f>
        <v>2</v>
      </c>
      <c r="X59" s="3" t="e">
        <f>V59/U59</f>
        <v>#DIV/0!</v>
      </c>
      <c r="Y59" s="4" t="e">
        <f>S59*6/U59</f>
        <v>#DIV/0!</v>
      </c>
      <c r="Z59" s="2">
        <v>0</v>
      </c>
      <c r="AA59" s="2">
        <v>0</v>
      </c>
      <c r="AB59" s="2">
        <v>0</v>
      </c>
      <c r="AC59" s="2">
        <v>2</v>
      </c>
    </row>
    <row r="60" spans="1:29" x14ac:dyDescent="0.35">
      <c r="A60" s="1" t="s">
        <v>95</v>
      </c>
      <c r="B60" s="1" t="s">
        <v>97</v>
      </c>
      <c r="C60">
        <f>D60+E60+F60+G60+H60+I60</f>
        <v>3</v>
      </c>
      <c r="D60" s="2">
        <v>0</v>
      </c>
      <c r="E60" s="2">
        <v>0</v>
      </c>
      <c r="F60" s="2">
        <v>3</v>
      </c>
      <c r="G60" s="2">
        <v>0</v>
      </c>
      <c r="H60" s="2">
        <v>0</v>
      </c>
      <c r="I60" s="2">
        <v>0</v>
      </c>
      <c r="J60" s="2">
        <v>3</v>
      </c>
      <c r="K60">
        <f>J60+L60</f>
        <v>3</v>
      </c>
      <c r="L60" s="2">
        <v>0</v>
      </c>
      <c r="M60" s="2">
        <v>0</v>
      </c>
      <c r="N60" s="2">
        <v>25</v>
      </c>
      <c r="O60" s="3">
        <f>N60/J60</f>
        <v>8.3333333333333339</v>
      </c>
      <c r="P60" s="2">
        <v>0</v>
      </c>
      <c r="Q60" s="2">
        <v>0</v>
      </c>
      <c r="R60" s="2">
        <v>22</v>
      </c>
      <c r="S60" s="2">
        <v>2</v>
      </c>
      <c r="T60" s="2">
        <v>0</v>
      </c>
      <c r="U60" s="2">
        <v>0</v>
      </c>
      <c r="V60" s="2">
        <v>15</v>
      </c>
      <c r="W60" s="3">
        <f>V60/S60</f>
        <v>7.5</v>
      </c>
      <c r="X60" s="3" t="e">
        <f>V60/U60</f>
        <v>#DIV/0!</v>
      </c>
      <c r="Y60" s="4" t="e">
        <f>S60*6/U60</f>
        <v>#DIV/0!</v>
      </c>
      <c r="Z60" s="2">
        <v>0</v>
      </c>
      <c r="AA60" s="2">
        <v>0</v>
      </c>
      <c r="AB60" s="2">
        <v>0</v>
      </c>
      <c r="AC60" s="2">
        <v>2</v>
      </c>
    </row>
    <row r="61" spans="1:29" x14ac:dyDescent="0.35">
      <c r="A61" s="1" t="s">
        <v>95</v>
      </c>
      <c r="B61" s="1" t="s">
        <v>74</v>
      </c>
      <c r="C61">
        <f>D61+E61+F61+G61+H61+I61</f>
        <v>1</v>
      </c>
      <c r="D61" s="2">
        <v>0</v>
      </c>
      <c r="E61" s="2">
        <v>0</v>
      </c>
      <c r="F61" s="2">
        <v>0</v>
      </c>
      <c r="G61" s="2">
        <v>1</v>
      </c>
      <c r="H61" s="2">
        <v>0</v>
      </c>
      <c r="I61" s="2">
        <v>0</v>
      </c>
      <c r="J61" s="2">
        <v>1</v>
      </c>
      <c r="K61">
        <f>J61+L61</f>
        <v>1</v>
      </c>
      <c r="L61" s="2">
        <v>0</v>
      </c>
      <c r="M61" s="2">
        <v>0</v>
      </c>
      <c r="N61" s="2">
        <v>1</v>
      </c>
      <c r="O61" s="3">
        <f>N61/J61</f>
        <v>1</v>
      </c>
      <c r="P61" s="2">
        <v>0</v>
      </c>
      <c r="Q61" s="2">
        <v>0</v>
      </c>
      <c r="R61" s="2">
        <v>1</v>
      </c>
      <c r="S61" s="2">
        <v>22</v>
      </c>
      <c r="T61" s="2">
        <v>1</v>
      </c>
      <c r="U61" s="2">
        <v>1</v>
      </c>
      <c r="V61" s="2">
        <v>22</v>
      </c>
      <c r="W61" s="3">
        <f>V61/S61</f>
        <v>1</v>
      </c>
      <c r="X61" s="3">
        <f>V61/U61</f>
        <v>22</v>
      </c>
      <c r="Y61" s="4">
        <f>S61*6/U61</f>
        <v>132</v>
      </c>
      <c r="Z61" s="2">
        <v>1</v>
      </c>
      <c r="AA61" s="2">
        <v>0</v>
      </c>
      <c r="AB61" s="2">
        <v>0</v>
      </c>
      <c r="AC61" s="2">
        <v>0</v>
      </c>
    </row>
    <row r="62" spans="1:29" x14ac:dyDescent="0.35">
      <c r="A62" s="34" t="s">
        <v>98</v>
      </c>
      <c r="B62" s="34" t="s">
        <v>99</v>
      </c>
      <c r="C62">
        <f>D62+E62+F62+G62+H62+I62</f>
        <v>1</v>
      </c>
      <c r="D62" s="5">
        <v>0</v>
      </c>
      <c r="E62" s="5">
        <v>0</v>
      </c>
      <c r="F62" s="5">
        <v>0</v>
      </c>
      <c r="G62" s="5">
        <v>1</v>
      </c>
      <c r="H62" s="5">
        <v>0</v>
      </c>
      <c r="I62" s="5">
        <v>0</v>
      </c>
      <c r="J62" s="5">
        <v>1</v>
      </c>
      <c r="K62">
        <f>J62+L62</f>
        <v>1</v>
      </c>
      <c r="L62" s="5">
        <v>0</v>
      </c>
      <c r="M62" s="5">
        <v>0</v>
      </c>
      <c r="N62" s="5">
        <v>9</v>
      </c>
      <c r="O62" s="3">
        <f>N62/J62</f>
        <v>9</v>
      </c>
      <c r="P62" s="5">
        <v>0</v>
      </c>
      <c r="Q62" s="5">
        <v>0</v>
      </c>
      <c r="R62" s="5">
        <v>9</v>
      </c>
      <c r="S62" s="40">
        <v>0</v>
      </c>
      <c r="T62" s="40">
        <v>0</v>
      </c>
      <c r="U62" s="40">
        <v>0</v>
      </c>
      <c r="V62" s="40">
        <v>0</v>
      </c>
      <c r="W62" s="3" t="e">
        <f>V62/S62</f>
        <v>#DIV/0!</v>
      </c>
      <c r="X62" s="3" t="e">
        <f>V62/U62</f>
        <v>#DIV/0!</v>
      </c>
      <c r="Y62" s="4" t="e">
        <f>S62*6/U62</f>
        <v>#DIV/0!</v>
      </c>
      <c r="Z62" s="40">
        <v>0</v>
      </c>
      <c r="AA62" s="40">
        <v>0</v>
      </c>
      <c r="AB62" s="40">
        <v>0</v>
      </c>
      <c r="AC62" s="40">
        <v>0</v>
      </c>
    </row>
    <row r="63" spans="1:29" x14ac:dyDescent="0.35">
      <c r="A63" s="11" t="s">
        <v>98</v>
      </c>
      <c r="B63" s="11" t="s">
        <v>1245</v>
      </c>
      <c r="C63">
        <f>D63+E63+F63+G63+H63+I63</f>
        <v>1</v>
      </c>
      <c r="D63" s="2">
        <v>0</v>
      </c>
      <c r="E63" s="2">
        <v>0</v>
      </c>
      <c r="F63" s="2">
        <v>1</v>
      </c>
      <c r="G63" s="2">
        <v>0</v>
      </c>
      <c r="H63" s="2">
        <v>0</v>
      </c>
      <c r="I63" s="2">
        <v>0</v>
      </c>
      <c r="J63" s="2">
        <v>1</v>
      </c>
      <c r="K63">
        <f>J63+L63</f>
        <v>1</v>
      </c>
      <c r="L63" s="2">
        <v>0</v>
      </c>
      <c r="M63" s="2">
        <v>0</v>
      </c>
      <c r="N63" s="2">
        <v>5</v>
      </c>
      <c r="O63" s="3">
        <f>N63/J63</f>
        <v>5</v>
      </c>
      <c r="P63" s="2">
        <v>0</v>
      </c>
      <c r="Q63" s="2">
        <v>0</v>
      </c>
      <c r="R63" s="2">
        <v>5</v>
      </c>
      <c r="S63" s="11"/>
      <c r="T63" s="11"/>
      <c r="U63" s="11"/>
      <c r="V63" s="11"/>
      <c r="Z63" s="11"/>
      <c r="AA63" s="11"/>
      <c r="AB63" s="11"/>
      <c r="AC63" s="11"/>
    </row>
    <row r="64" spans="1:29" x14ac:dyDescent="0.35">
      <c r="A64" s="1" t="s">
        <v>100</v>
      </c>
      <c r="B64" s="1" t="s">
        <v>101</v>
      </c>
      <c r="C64">
        <f>D64+E64+F64+G64+H64+I64</f>
        <v>2</v>
      </c>
      <c r="D64" s="2">
        <v>0</v>
      </c>
      <c r="E64" s="2">
        <v>2</v>
      </c>
      <c r="F64" s="2">
        <v>0</v>
      </c>
      <c r="G64" s="2">
        <v>0</v>
      </c>
      <c r="H64" s="2">
        <v>0</v>
      </c>
      <c r="I64" s="2">
        <v>0</v>
      </c>
      <c r="J64" s="2">
        <v>1</v>
      </c>
      <c r="K64">
        <f>J64+L64</f>
        <v>1</v>
      </c>
      <c r="L64" s="2">
        <v>0</v>
      </c>
      <c r="M64" s="2">
        <v>1</v>
      </c>
      <c r="N64" s="2">
        <v>41</v>
      </c>
      <c r="O64" s="3">
        <f>N64/J64</f>
        <v>41</v>
      </c>
      <c r="P64" s="2">
        <v>0</v>
      </c>
      <c r="Q64" s="2">
        <v>0</v>
      </c>
      <c r="R64" s="2">
        <v>41</v>
      </c>
      <c r="S64" s="2">
        <v>0</v>
      </c>
      <c r="T64" s="2">
        <v>0</v>
      </c>
      <c r="U64" s="2">
        <v>0</v>
      </c>
      <c r="V64" s="2">
        <v>0</v>
      </c>
      <c r="W64" s="3" t="e">
        <f>V64/S64</f>
        <v>#DIV/0!</v>
      </c>
      <c r="X64" s="3" t="e">
        <f>V64/U64</f>
        <v>#DIV/0!</v>
      </c>
      <c r="Y64" s="4" t="e">
        <f>S64*6/U64</f>
        <v>#DIV/0!</v>
      </c>
      <c r="Z64" s="2">
        <v>0</v>
      </c>
      <c r="AA64" s="2">
        <v>0</v>
      </c>
      <c r="AB64" s="2">
        <v>0</v>
      </c>
      <c r="AC64" s="2">
        <v>2</v>
      </c>
    </row>
    <row r="65" spans="1:29" x14ac:dyDescent="0.35">
      <c r="A65" s="1" t="s">
        <v>102</v>
      </c>
      <c r="B65" s="1" t="s">
        <v>101</v>
      </c>
      <c r="C65">
        <f>D65+E65+F65+G65+H65+I65</f>
        <v>1</v>
      </c>
      <c r="D65" s="2">
        <v>0</v>
      </c>
      <c r="E65" s="2">
        <v>0</v>
      </c>
      <c r="F65" s="2">
        <v>0</v>
      </c>
      <c r="G65" s="2">
        <v>0</v>
      </c>
      <c r="H65" s="2">
        <v>1</v>
      </c>
      <c r="I65" s="2">
        <v>0</v>
      </c>
      <c r="J65" s="2">
        <v>1</v>
      </c>
      <c r="K65">
        <f>J65+L65</f>
        <v>1</v>
      </c>
      <c r="L65" s="2">
        <v>0</v>
      </c>
      <c r="M65" s="2">
        <v>0</v>
      </c>
      <c r="N65" s="2">
        <v>58</v>
      </c>
      <c r="O65" s="3">
        <f>N65/J65</f>
        <v>58</v>
      </c>
      <c r="P65" s="2">
        <v>1</v>
      </c>
      <c r="Q65" s="2">
        <v>0</v>
      </c>
      <c r="R65" s="2">
        <v>58</v>
      </c>
      <c r="S65" s="2">
        <v>5</v>
      </c>
      <c r="T65" s="2">
        <v>3</v>
      </c>
      <c r="U65" s="2">
        <v>0</v>
      </c>
      <c r="V65" s="2">
        <v>4</v>
      </c>
      <c r="W65" s="3">
        <f>V65/S65</f>
        <v>0.8</v>
      </c>
      <c r="X65" s="3" t="e">
        <f>V65/U65</f>
        <v>#DIV/0!</v>
      </c>
      <c r="Y65" s="4" t="e">
        <f>S65*6/U65</f>
        <v>#DIV/0!</v>
      </c>
      <c r="Z65" s="2">
        <v>0</v>
      </c>
      <c r="AA65" s="2">
        <v>0</v>
      </c>
      <c r="AB65" s="2">
        <v>0</v>
      </c>
      <c r="AC65" s="2">
        <v>0</v>
      </c>
    </row>
    <row r="66" spans="1:29" x14ac:dyDescent="0.35">
      <c r="A66" s="1" t="s">
        <v>103</v>
      </c>
      <c r="B66" s="1" t="s">
        <v>104</v>
      </c>
      <c r="C66">
        <f>D66+E66+F66+G66+H66+I66</f>
        <v>7</v>
      </c>
      <c r="D66" s="2">
        <v>0</v>
      </c>
      <c r="E66" s="2">
        <v>0</v>
      </c>
      <c r="F66" s="2">
        <v>4</v>
      </c>
      <c r="G66" s="2">
        <v>3</v>
      </c>
      <c r="H66" s="2">
        <v>0</v>
      </c>
      <c r="I66" s="2">
        <v>0</v>
      </c>
      <c r="J66" s="2">
        <v>7</v>
      </c>
      <c r="K66">
        <f>J66+L66</f>
        <v>8</v>
      </c>
      <c r="L66" s="2">
        <v>1</v>
      </c>
      <c r="M66" s="2">
        <v>4</v>
      </c>
      <c r="N66" s="2">
        <v>151</v>
      </c>
      <c r="O66" s="3">
        <f>N66/J66</f>
        <v>21.571428571428573</v>
      </c>
      <c r="P66" s="2">
        <v>1</v>
      </c>
      <c r="Q66" s="2">
        <v>0</v>
      </c>
      <c r="R66" s="2">
        <v>68</v>
      </c>
      <c r="S66" s="2">
        <v>68</v>
      </c>
      <c r="T66" s="2">
        <v>11</v>
      </c>
      <c r="U66" s="2">
        <v>6</v>
      </c>
      <c r="V66" s="2">
        <v>222</v>
      </c>
      <c r="W66" s="3">
        <f>V66/S66</f>
        <v>3.2647058823529411</v>
      </c>
      <c r="X66" s="3">
        <f>V66/U66</f>
        <v>37</v>
      </c>
      <c r="Y66" s="4">
        <f>S66*6/U66</f>
        <v>68</v>
      </c>
      <c r="Z66" s="2">
        <v>3</v>
      </c>
      <c r="AA66" s="2">
        <v>0</v>
      </c>
      <c r="AB66" s="2">
        <v>0</v>
      </c>
      <c r="AC66" s="2">
        <v>2</v>
      </c>
    </row>
    <row r="67" spans="1:29" x14ac:dyDescent="0.35">
      <c r="A67" s="1" t="s">
        <v>105</v>
      </c>
      <c r="B67" s="1" t="s">
        <v>106</v>
      </c>
      <c r="C67">
        <f>D67+E67+F67+G67+H67+I67</f>
        <v>1</v>
      </c>
      <c r="D67" s="2">
        <v>0</v>
      </c>
      <c r="E67" s="2">
        <v>0</v>
      </c>
      <c r="F67" s="2">
        <v>0</v>
      </c>
      <c r="G67" s="2">
        <v>0</v>
      </c>
      <c r="H67" s="2">
        <v>1</v>
      </c>
      <c r="I67" s="2">
        <v>0</v>
      </c>
      <c r="J67" s="2">
        <v>1</v>
      </c>
      <c r="K67">
        <f>J67+L67</f>
        <v>1</v>
      </c>
      <c r="L67" s="2">
        <v>0</v>
      </c>
      <c r="M67" s="2">
        <v>0</v>
      </c>
      <c r="N67" s="2">
        <v>0</v>
      </c>
      <c r="O67" s="3">
        <f>N67/J67</f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3" t="e">
        <f>V67/S67</f>
        <v>#DIV/0!</v>
      </c>
      <c r="X67" s="3" t="e">
        <f>V67/U67</f>
        <v>#DIV/0!</v>
      </c>
      <c r="Y67" s="4" t="e">
        <f>S67*6/U67</f>
        <v>#DIV/0!</v>
      </c>
      <c r="Z67" s="2">
        <v>0</v>
      </c>
      <c r="AA67" s="2">
        <v>0</v>
      </c>
      <c r="AB67" s="2">
        <v>0</v>
      </c>
      <c r="AC67" s="2">
        <v>0</v>
      </c>
    </row>
    <row r="68" spans="1:29" x14ac:dyDescent="0.35">
      <c r="A68" s="1" t="s">
        <v>107</v>
      </c>
      <c r="B68" s="1" t="s">
        <v>108</v>
      </c>
      <c r="C68">
        <f>D68+E68+F68+G68+H68+I68</f>
        <v>124</v>
      </c>
      <c r="D68" s="2">
        <v>0</v>
      </c>
      <c r="E68" s="2">
        <v>0</v>
      </c>
      <c r="F68" s="2">
        <v>5</v>
      </c>
      <c r="G68" s="2">
        <v>42</v>
      </c>
      <c r="H68" s="2">
        <v>63</v>
      </c>
      <c r="I68" s="2">
        <v>14</v>
      </c>
      <c r="J68" s="2">
        <v>112</v>
      </c>
      <c r="K68">
        <f>J68+L68</f>
        <v>122</v>
      </c>
      <c r="L68" s="2">
        <v>10</v>
      </c>
      <c r="M68" s="2">
        <v>11</v>
      </c>
      <c r="N68" s="2">
        <v>2768</v>
      </c>
      <c r="O68" s="3">
        <f>N68/J68</f>
        <v>24.714285714285715</v>
      </c>
      <c r="P68" s="2">
        <v>13</v>
      </c>
      <c r="Q68" s="2">
        <v>2</v>
      </c>
      <c r="R68" s="2">
        <v>127</v>
      </c>
      <c r="S68" s="2">
        <v>14</v>
      </c>
      <c r="T68" s="2">
        <v>0</v>
      </c>
      <c r="U68" s="2">
        <v>1</v>
      </c>
      <c r="V68" s="2">
        <v>80</v>
      </c>
      <c r="W68" s="3">
        <f>V68/S68</f>
        <v>5.7142857142857144</v>
      </c>
      <c r="X68" s="3">
        <f>V68/U68</f>
        <v>80</v>
      </c>
      <c r="Y68" s="4">
        <f>S68*6/U68</f>
        <v>84</v>
      </c>
      <c r="Z68" s="2">
        <v>1</v>
      </c>
      <c r="AA68" s="2">
        <v>0</v>
      </c>
      <c r="AB68" s="2">
        <v>0</v>
      </c>
      <c r="AC68" s="2">
        <v>30</v>
      </c>
    </row>
    <row r="69" spans="1:29" x14ac:dyDescent="0.35">
      <c r="A69" s="1" t="s">
        <v>109</v>
      </c>
      <c r="B69" s="1" t="s">
        <v>110</v>
      </c>
      <c r="C69">
        <f>D69+E69+F69+G69+H69+I69</f>
        <v>4</v>
      </c>
      <c r="D69" s="2">
        <v>0</v>
      </c>
      <c r="E69" s="2">
        <v>0</v>
      </c>
      <c r="F69" s="2">
        <v>0</v>
      </c>
      <c r="G69" s="2">
        <v>0</v>
      </c>
      <c r="H69" s="2">
        <v>4</v>
      </c>
      <c r="I69" s="2">
        <v>0</v>
      </c>
      <c r="J69" s="2">
        <v>2</v>
      </c>
      <c r="K69">
        <f>J69+L69</f>
        <v>2</v>
      </c>
      <c r="L69" s="2">
        <v>0</v>
      </c>
      <c r="M69" s="2">
        <v>2</v>
      </c>
      <c r="N69" s="2">
        <v>0</v>
      </c>
      <c r="O69" s="3">
        <f>N69/J69</f>
        <v>0</v>
      </c>
      <c r="P69" s="2">
        <v>0</v>
      </c>
      <c r="Q69" s="2">
        <v>0</v>
      </c>
      <c r="R69" s="2">
        <v>0</v>
      </c>
      <c r="S69" s="2">
        <v>22</v>
      </c>
      <c r="T69" s="2">
        <v>3</v>
      </c>
      <c r="U69" s="2">
        <v>3</v>
      </c>
      <c r="V69" s="2">
        <v>52</v>
      </c>
      <c r="W69" s="3">
        <f>V69/S69</f>
        <v>2.3636363636363638</v>
      </c>
      <c r="X69" s="3">
        <f>V69/U69</f>
        <v>17.333333333333332</v>
      </c>
      <c r="Y69" s="4">
        <f>S69*6/U69</f>
        <v>44</v>
      </c>
      <c r="Z69" s="2">
        <v>2</v>
      </c>
      <c r="AA69" s="2">
        <v>0</v>
      </c>
      <c r="AB69" s="2">
        <v>0</v>
      </c>
      <c r="AC69" s="2">
        <v>0</v>
      </c>
    </row>
    <row r="70" spans="1:29" x14ac:dyDescent="0.35">
      <c r="A70" s="1" t="s">
        <v>109</v>
      </c>
      <c r="B70" s="1" t="s">
        <v>111</v>
      </c>
      <c r="C70">
        <f>D70+E70+F70+G70+H70+I70</f>
        <v>3</v>
      </c>
      <c r="D70" s="2">
        <v>0</v>
      </c>
      <c r="E70" s="2">
        <v>2</v>
      </c>
      <c r="F70" s="2">
        <v>1</v>
      </c>
      <c r="G70" s="2">
        <v>0</v>
      </c>
      <c r="H70" s="2">
        <v>0</v>
      </c>
      <c r="I70" s="2">
        <v>0</v>
      </c>
      <c r="J70" s="2">
        <v>3</v>
      </c>
      <c r="K70">
        <f>J70+L70</f>
        <v>3</v>
      </c>
      <c r="L70" s="2">
        <v>0</v>
      </c>
      <c r="M70" s="2">
        <v>0</v>
      </c>
      <c r="N70" s="2">
        <v>6</v>
      </c>
      <c r="O70" s="3">
        <f>N70/J70</f>
        <v>2</v>
      </c>
      <c r="P70" s="2">
        <v>0</v>
      </c>
      <c r="Q70" s="2">
        <v>0</v>
      </c>
      <c r="R70" s="2">
        <v>6</v>
      </c>
      <c r="S70" s="2">
        <v>9</v>
      </c>
      <c r="T70" s="2">
        <v>0</v>
      </c>
      <c r="U70" s="2">
        <v>0</v>
      </c>
      <c r="V70" s="2">
        <v>52</v>
      </c>
      <c r="W70" s="3">
        <f>V70/S70</f>
        <v>5.7777777777777777</v>
      </c>
      <c r="X70" s="3" t="e">
        <f>V70/U70</f>
        <v>#DIV/0!</v>
      </c>
      <c r="Y70" s="4" t="e">
        <f>S70*6/U70</f>
        <v>#DIV/0!</v>
      </c>
      <c r="Z70" s="2">
        <v>0</v>
      </c>
      <c r="AA70" s="2">
        <v>0</v>
      </c>
      <c r="AB70" s="2">
        <v>0</v>
      </c>
      <c r="AC70" s="2">
        <v>0</v>
      </c>
    </row>
    <row r="71" spans="1:29" x14ac:dyDescent="0.35">
      <c r="A71" s="1" t="s">
        <v>112</v>
      </c>
      <c r="B71" s="1" t="s">
        <v>16</v>
      </c>
      <c r="C71">
        <f>D71+E71+F71+G71+H71+I71</f>
        <v>1</v>
      </c>
      <c r="D71" s="2">
        <v>0</v>
      </c>
      <c r="E71" s="2">
        <v>0</v>
      </c>
      <c r="F71" s="2">
        <v>0</v>
      </c>
      <c r="G71" s="2">
        <v>0</v>
      </c>
      <c r="H71" s="2">
        <v>1</v>
      </c>
      <c r="I71" s="2">
        <v>0</v>
      </c>
      <c r="J71" s="2">
        <v>0</v>
      </c>
      <c r="K71">
        <f>J71+L71</f>
        <v>1</v>
      </c>
      <c r="L71" s="2">
        <v>1</v>
      </c>
      <c r="M71" s="2">
        <v>0</v>
      </c>
      <c r="N71" s="2">
        <v>0</v>
      </c>
      <c r="O71" s="3" t="e">
        <f>N71/J71</f>
        <v>#DIV/0!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3" t="e">
        <f>V71/S71</f>
        <v>#DIV/0!</v>
      </c>
      <c r="X71" s="3" t="e">
        <f>V71/U71</f>
        <v>#DIV/0!</v>
      </c>
      <c r="Y71" s="4" t="e">
        <f>S71*6/U71</f>
        <v>#DIV/0!</v>
      </c>
      <c r="Z71" s="2">
        <v>0</v>
      </c>
      <c r="AA71" s="2">
        <v>0</v>
      </c>
      <c r="AB71" s="2">
        <v>0</v>
      </c>
      <c r="AC71" s="2">
        <v>1</v>
      </c>
    </row>
    <row r="72" spans="1:29" x14ac:dyDescent="0.35">
      <c r="A72" s="1" t="s">
        <v>113</v>
      </c>
      <c r="B72" s="1" t="s">
        <v>114</v>
      </c>
      <c r="C72">
        <f>D72+E72+F72+G72+H72+I72</f>
        <v>1</v>
      </c>
      <c r="D72" s="2">
        <v>0</v>
      </c>
      <c r="E72" s="2">
        <v>0</v>
      </c>
      <c r="F72" s="2">
        <v>1</v>
      </c>
      <c r="G72" s="2">
        <v>0</v>
      </c>
      <c r="H72" s="2">
        <v>0</v>
      </c>
      <c r="I72" s="2">
        <v>0</v>
      </c>
      <c r="J72" s="2">
        <v>0</v>
      </c>
      <c r="K72">
        <f>J72+L72</f>
        <v>1</v>
      </c>
      <c r="L72" s="2">
        <v>1</v>
      </c>
      <c r="M72" s="2">
        <v>0</v>
      </c>
      <c r="N72" s="2">
        <v>6</v>
      </c>
      <c r="O72" s="3" t="e">
        <f>N72/J72</f>
        <v>#DIV/0!</v>
      </c>
      <c r="P72" s="2">
        <v>0</v>
      </c>
      <c r="Q72" s="2">
        <v>0</v>
      </c>
      <c r="R72" s="2">
        <v>6</v>
      </c>
      <c r="S72" s="2">
        <v>0</v>
      </c>
      <c r="T72" s="2">
        <v>0</v>
      </c>
      <c r="U72" s="2">
        <v>0</v>
      </c>
      <c r="V72" s="2">
        <v>0</v>
      </c>
      <c r="W72" s="3" t="e">
        <f>V72/S72</f>
        <v>#DIV/0!</v>
      </c>
      <c r="X72" s="3" t="e">
        <f>V72/U72</f>
        <v>#DIV/0!</v>
      </c>
      <c r="Y72" s="4" t="e">
        <f>S72*6/U72</f>
        <v>#DIV/0!</v>
      </c>
      <c r="Z72" s="2">
        <v>0</v>
      </c>
      <c r="AA72" s="2">
        <v>0</v>
      </c>
      <c r="AB72" s="2">
        <v>0</v>
      </c>
      <c r="AC72" s="2">
        <v>0</v>
      </c>
    </row>
    <row r="73" spans="1:29" x14ac:dyDescent="0.35">
      <c r="A73" s="1" t="s">
        <v>115</v>
      </c>
      <c r="B73" s="1" t="s">
        <v>116</v>
      </c>
      <c r="C73">
        <f>D73+E73+F73+G73+H73+I73</f>
        <v>144</v>
      </c>
      <c r="D73" s="2">
        <v>0</v>
      </c>
      <c r="E73" s="2">
        <v>0</v>
      </c>
      <c r="F73" s="2">
        <v>3</v>
      </c>
      <c r="G73" s="2">
        <v>36</v>
      </c>
      <c r="H73" s="2">
        <v>99</v>
      </c>
      <c r="I73" s="2">
        <v>6</v>
      </c>
      <c r="J73" s="2">
        <v>134</v>
      </c>
      <c r="K73">
        <f>J73+L73</f>
        <v>146</v>
      </c>
      <c r="L73" s="2">
        <v>12</v>
      </c>
      <c r="M73" s="2">
        <v>12</v>
      </c>
      <c r="N73" s="2">
        <v>3395</v>
      </c>
      <c r="O73" s="3">
        <f>N73/J73</f>
        <v>25.335820895522389</v>
      </c>
      <c r="P73" s="2">
        <v>14</v>
      </c>
      <c r="Q73" s="2">
        <v>5</v>
      </c>
      <c r="R73" s="2">
        <v>142</v>
      </c>
      <c r="S73" s="2">
        <v>1106</v>
      </c>
      <c r="T73" s="2">
        <v>214</v>
      </c>
      <c r="U73" s="2">
        <v>170</v>
      </c>
      <c r="V73" s="2">
        <v>3255</v>
      </c>
      <c r="W73" s="3">
        <f>V73/S73</f>
        <v>2.9430379746835444</v>
      </c>
      <c r="X73" s="3">
        <f>V73/U73</f>
        <v>19.147058823529413</v>
      </c>
      <c r="Y73" s="4">
        <f>S73*6/U73</f>
        <v>39.035294117647062</v>
      </c>
      <c r="Z73" s="2">
        <v>8</v>
      </c>
      <c r="AA73" s="2">
        <v>7</v>
      </c>
      <c r="AB73" s="2">
        <v>0</v>
      </c>
      <c r="AC73" s="2">
        <v>18</v>
      </c>
    </row>
    <row r="74" spans="1:29" x14ac:dyDescent="0.35">
      <c r="A74" s="1" t="s">
        <v>117</v>
      </c>
      <c r="B74" s="1" t="s">
        <v>118</v>
      </c>
      <c r="C74">
        <f>D74+E74+F74+G74+H74+I74</f>
        <v>1</v>
      </c>
      <c r="D74" s="2">
        <v>0</v>
      </c>
      <c r="E74" s="2">
        <v>1</v>
      </c>
      <c r="F74" s="2">
        <v>0</v>
      </c>
      <c r="G74" s="2">
        <v>0</v>
      </c>
      <c r="H74" s="2">
        <v>0</v>
      </c>
      <c r="I74" s="2">
        <v>0</v>
      </c>
      <c r="J74" s="2">
        <v>1</v>
      </c>
      <c r="K74">
        <f>J74+L74</f>
        <v>1</v>
      </c>
      <c r="L74" s="2">
        <v>0</v>
      </c>
      <c r="M74" s="2">
        <v>1</v>
      </c>
      <c r="N74" s="2">
        <v>2</v>
      </c>
      <c r="O74" s="3">
        <f>N74/J74</f>
        <v>2</v>
      </c>
      <c r="P74" s="2">
        <v>0</v>
      </c>
      <c r="Q74" s="2">
        <v>0</v>
      </c>
      <c r="R74" s="2">
        <v>2</v>
      </c>
      <c r="S74" s="2">
        <v>1</v>
      </c>
      <c r="T74" s="2">
        <v>0</v>
      </c>
      <c r="U74" s="2">
        <v>0</v>
      </c>
      <c r="V74" s="2">
        <v>8</v>
      </c>
      <c r="W74" s="3">
        <f>V74/S74</f>
        <v>8</v>
      </c>
      <c r="X74" s="3" t="e">
        <f>V74/U74</f>
        <v>#DIV/0!</v>
      </c>
      <c r="Y74" s="4" t="e">
        <f>S74*6/U74</f>
        <v>#DIV/0!</v>
      </c>
      <c r="Z74" s="2">
        <v>0</v>
      </c>
      <c r="AA74" s="2">
        <v>0</v>
      </c>
      <c r="AB74" s="2">
        <v>0</v>
      </c>
      <c r="AC74" s="2">
        <v>1</v>
      </c>
    </row>
    <row r="75" spans="1:29" x14ac:dyDescent="0.35">
      <c r="A75" s="1" t="s">
        <v>119</v>
      </c>
      <c r="B75" s="1" t="s">
        <v>85</v>
      </c>
      <c r="C75">
        <f>D75+E75+F75+G75+H75+I75</f>
        <v>19</v>
      </c>
      <c r="D75" s="2">
        <v>0</v>
      </c>
      <c r="E75" s="2">
        <v>0</v>
      </c>
      <c r="F75" s="2">
        <v>0</v>
      </c>
      <c r="G75" s="2">
        <v>0</v>
      </c>
      <c r="H75" s="2">
        <v>6</v>
      </c>
      <c r="I75" s="2">
        <v>13</v>
      </c>
      <c r="J75" s="2">
        <v>17</v>
      </c>
      <c r="K75" s="35">
        <f>J75+L75</f>
        <v>18</v>
      </c>
      <c r="L75" s="2">
        <v>1</v>
      </c>
      <c r="M75" s="2">
        <v>4</v>
      </c>
      <c r="N75" s="2">
        <v>353</v>
      </c>
      <c r="O75" s="3">
        <f>N75/J75</f>
        <v>20.764705882352942</v>
      </c>
      <c r="P75" s="2">
        <v>2</v>
      </c>
      <c r="Q75" s="2">
        <v>0</v>
      </c>
      <c r="R75" s="2">
        <v>67</v>
      </c>
      <c r="S75" s="2">
        <v>345</v>
      </c>
      <c r="T75" s="2">
        <v>82</v>
      </c>
      <c r="U75" s="2">
        <v>51</v>
      </c>
      <c r="V75" s="2">
        <v>857</v>
      </c>
      <c r="W75" s="3">
        <f>V75/S75</f>
        <v>2.4840579710144928</v>
      </c>
      <c r="X75" s="3">
        <f>V75/U75</f>
        <v>16.803921568627452</v>
      </c>
      <c r="Y75" s="4">
        <f>S75*6/U75</f>
        <v>40.588235294117645</v>
      </c>
      <c r="Z75" s="2">
        <v>5</v>
      </c>
      <c r="AA75" s="2">
        <v>5</v>
      </c>
      <c r="AB75" s="2">
        <v>0</v>
      </c>
      <c r="AC75" s="2">
        <v>5</v>
      </c>
    </row>
    <row r="76" spans="1:29" x14ac:dyDescent="0.35">
      <c r="A76" s="1" t="s">
        <v>119</v>
      </c>
      <c r="B76" s="1" t="s">
        <v>120</v>
      </c>
      <c r="C76">
        <f>D76+E76+F76+G76+H76+I76</f>
        <v>13</v>
      </c>
      <c r="D76" s="2">
        <v>0</v>
      </c>
      <c r="E76" s="2">
        <v>3</v>
      </c>
      <c r="F76" s="2">
        <v>4</v>
      </c>
      <c r="G76" s="2">
        <v>1</v>
      </c>
      <c r="H76" s="2">
        <v>1</v>
      </c>
      <c r="I76" s="2">
        <v>4</v>
      </c>
      <c r="J76" s="2">
        <v>14</v>
      </c>
      <c r="K76">
        <f>J76+L76</f>
        <v>16</v>
      </c>
      <c r="L76" s="2">
        <v>2</v>
      </c>
      <c r="M76" s="2">
        <v>0</v>
      </c>
      <c r="N76" s="2">
        <v>238</v>
      </c>
      <c r="O76" s="3">
        <f>N76/J76</f>
        <v>17</v>
      </c>
      <c r="P76" s="2">
        <v>0</v>
      </c>
      <c r="Q76" s="2">
        <v>0</v>
      </c>
      <c r="R76" s="2">
        <v>42</v>
      </c>
      <c r="S76" s="2">
        <v>41</v>
      </c>
      <c r="T76" s="2">
        <v>4</v>
      </c>
      <c r="U76" s="2">
        <v>3</v>
      </c>
      <c r="V76" s="2">
        <v>166</v>
      </c>
      <c r="W76" s="3">
        <f>V76/S76</f>
        <v>4.0487804878048781</v>
      </c>
      <c r="X76" s="3">
        <f>V76/U76</f>
        <v>55.333333333333336</v>
      </c>
      <c r="Y76" s="4">
        <f>S76*6/U76</f>
        <v>82</v>
      </c>
      <c r="Z76" s="2">
        <v>1</v>
      </c>
      <c r="AA76" s="2">
        <v>0</v>
      </c>
      <c r="AB76" s="2">
        <v>0</v>
      </c>
      <c r="AC76" s="2">
        <v>3</v>
      </c>
    </row>
    <row r="77" spans="1:29" x14ac:dyDescent="0.35">
      <c r="A77" s="37" t="s">
        <v>1372</v>
      </c>
      <c r="B77" s="37" t="s">
        <v>342</v>
      </c>
      <c r="C77" s="18">
        <f>D77+E77+F77+G77+H77+I77</f>
        <v>28</v>
      </c>
      <c r="D77" s="21">
        <v>0</v>
      </c>
      <c r="E77" s="21">
        <v>10</v>
      </c>
      <c r="F77" s="21">
        <v>18</v>
      </c>
      <c r="G77" s="21">
        <v>0</v>
      </c>
      <c r="H77" s="21">
        <v>0</v>
      </c>
      <c r="I77" s="21">
        <v>0</v>
      </c>
      <c r="J77" s="21">
        <v>21</v>
      </c>
      <c r="K77" s="18">
        <f>J77+L77</f>
        <v>27</v>
      </c>
      <c r="L77" s="21">
        <v>6</v>
      </c>
      <c r="M77" s="21">
        <v>2</v>
      </c>
      <c r="N77" s="21">
        <f>543+157</f>
        <v>700</v>
      </c>
      <c r="O77" s="19">
        <f>N77/J77</f>
        <v>33.333333333333336</v>
      </c>
      <c r="P77" s="21">
        <v>6</v>
      </c>
      <c r="Q77" s="21">
        <v>0</v>
      </c>
      <c r="R77" s="21">
        <v>87</v>
      </c>
      <c r="S77" s="37">
        <v>8</v>
      </c>
      <c r="T77" s="37">
        <v>1</v>
      </c>
      <c r="U77" s="37">
        <v>0</v>
      </c>
      <c r="V77" s="37">
        <v>38</v>
      </c>
      <c r="W77" s="19">
        <f>V77/S77</f>
        <v>4.75</v>
      </c>
      <c r="X77" s="19">
        <v>0</v>
      </c>
      <c r="Y77" s="19">
        <v>0</v>
      </c>
      <c r="Z77" s="37" t="s">
        <v>1396</v>
      </c>
      <c r="AA77" s="46">
        <v>0</v>
      </c>
      <c r="AB77" s="21">
        <v>0</v>
      </c>
      <c r="AC77" s="21">
        <v>9</v>
      </c>
    </row>
    <row r="78" spans="1:29" x14ac:dyDescent="0.35">
      <c r="A78" s="1" t="s">
        <v>121</v>
      </c>
      <c r="B78" s="1" t="s">
        <v>122</v>
      </c>
      <c r="C78">
        <f>D78+E78+F78+G78+H78+I78</f>
        <v>1</v>
      </c>
      <c r="D78" s="2">
        <v>0</v>
      </c>
      <c r="E78" s="2">
        <v>0</v>
      </c>
      <c r="F78" s="2">
        <v>1</v>
      </c>
      <c r="G78" s="2">
        <v>0</v>
      </c>
      <c r="H78" s="2">
        <v>0</v>
      </c>
      <c r="I78" s="2">
        <v>0</v>
      </c>
      <c r="J78" s="2">
        <v>1</v>
      </c>
      <c r="K78">
        <f>J78+L78</f>
        <v>1</v>
      </c>
      <c r="L78" s="2">
        <v>0</v>
      </c>
      <c r="M78" s="2">
        <v>0</v>
      </c>
      <c r="N78" s="2">
        <v>6</v>
      </c>
      <c r="O78" s="3">
        <f>N78/J78</f>
        <v>6</v>
      </c>
      <c r="P78" s="2">
        <v>0</v>
      </c>
      <c r="Q78" s="2">
        <v>0</v>
      </c>
      <c r="R78" s="2">
        <v>6</v>
      </c>
      <c r="S78" s="2">
        <v>2</v>
      </c>
      <c r="T78" s="2">
        <v>0</v>
      </c>
      <c r="U78" s="2">
        <v>0</v>
      </c>
      <c r="V78" s="2">
        <v>20</v>
      </c>
      <c r="W78" s="3">
        <f>V78/S78</f>
        <v>10</v>
      </c>
      <c r="X78" s="3" t="e">
        <f>V78/U78</f>
        <v>#DIV/0!</v>
      </c>
      <c r="Y78" s="4" t="e">
        <f>S78*6/U78</f>
        <v>#DIV/0!</v>
      </c>
      <c r="Z78" s="2">
        <v>0</v>
      </c>
      <c r="AA78" s="2">
        <v>0</v>
      </c>
      <c r="AB78" s="2">
        <v>0</v>
      </c>
      <c r="AC78" s="2">
        <v>0</v>
      </c>
    </row>
    <row r="79" spans="1:29" x14ac:dyDescent="0.35">
      <c r="A79" s="1" t="s">
        <v>123</v>
      </c>
      <c r="B79" s="1" t="s">
        <v>125</v>
      </c>
      <c r="C79">
        <f>D79+E79+F79+G79+H79+I79</f>
        <v>78</v>
      </c>
      <c r="D79" s="2">
        <v>0</v>
      </c>
      <c r="E79" s="2">
        <v>11</v>
      </c>
      <c r="F79" s="2">
        <v>9</v>
      </c>
      <c r="G79" s="2">
        <v>37</v>
      </c>
      <c r="H79" s="2">
        <v>11</v>
      </c>
      <c r="I79" s="2">
        <v>10</v>
      </c>
      <c r="J79" s="2">
        <v>92</v>
      </c>
      <c r="K79">
        <f>J79+L79</f>
        <v>103</v>
      </c>
      <c r="L79" s="2">
        <v>11</v>
      </c>
      <c r="M79" s="2">
        <v>12</v>
      </c>
      <c r="N79" s="2">
        <v>1480</v>
      </c>
      <c r="O79" s="3">
        <f>N79/J79</f>
        <v>16.086956521739129</v>
      </c>
      <c r="P79" s="2">
        <v>2</v>
      </c>
      <c r="Q79" s="2">
        <v>0</v>
      </c>
      <c r="R79" s="2">
        <v>78</v>
      </c>
      <c r="S79" s="2">
        <v>58</v>
      </c>
      <c r="T79" s="2">
        <v>8</v>
      </c>
      <c r="U79" s="2">
        <v>6</v>
      </c>
      <c r="V79" s="2">
        <v>272</v>
      </c>
      <c r="W79" s="3">
        <f>V79/S79</f>
        <v>4.6896551724137927</v>
      </c>
      <c r="X79" s="3">
        <f>V79/U79</f>
        <v>45.333333333333336</v>
      </c>
      <c r="Y79" s="4">
        <f>S79*6/U79</f>
        <v>58</v>
      </c>
      <c r="Z79" s="2">
        <v>2</v>
      </c>
      <c r="AA79" s="2">
        <v>0</v>
      </c>
      <c r="AB79" s="2">
        <v>0</v>
      </c>
      <c r="AC79" s="2">
        <v>56</v>
      </c>
    </row>
    <row r="80" spans="1:29" x14ac:dyDescent="0.35">
      <c r="A80" s="1" t="s">
        <v>123</v>
      </c>
      <c r="B80" s="1" t="s">
        <v>124</v>
      </c>
      <c r="C80">
        <f>D80+E80+F80+G80+H80+I80</f>
        <v>94</v>
      </c>
      <c r="D80" s="2">
        <v>0</v>
      </c>
      <c r="E80" s="2">
        <v>55</v>
      </c>
      <c r="F80" s="2">
        <v>3</v>
      </c>
      <c r="G80" s="2">
        <v>22</v>
      </c>
      <c r="H80" s="2">
        <v>2</v>
      </c>
      <c r="I80" s="2">
        <v>12</v>
      </c>
      <c r="J80" s="2">
        <v>60</v>
      </c>
      <c r="K80">
        <f>J80+L80</f>
        <v>84</v>
      </c>
      <c r="L80" s="2">
        <v>24</v>
      </c>
      <c r="M80" s="2">
        <v>25</v>
      </c>
      <c r="N80" s="2">
        <v>875</v>
      </c>
      <c r="O80" s="3">
        <f>N80/J80</f>
        <v>14.583333333333334</v>
      </c>
      <c r="P80" s="2">
        <v>1</v>
      </c>
      <c r="Q80" s="2">
        <v>0</v>
      </c>
      <c r="R80" s="2">
        <v>59</v>
      </c>
      <c r="S80" s="2">
        <v>715</v>
      </c>
      <c r="T80" s="2">
        <v>172</v>
      </c>
      <c r="U80" s="2">
        <v>104</v>
      </c>
      <c r="V80" s="2">
        <v>1946</v>
      </c>
      <c r="W80" s="3">
        <f>V80/S80</f>
        <v>2.7216783216783216</v>
      </c>
      <c r="X80" s="3">
        <f>V80/U80</f>
        <v>18.71153846153846</v>
      </c>
      <c r="Y80" s="4">
        <f>S80*6/U80</f>
        <v>41.25</v>
      </c>
      <c r="Z80" s="2">
        <v>5</v>
      </c>
      <c r="AA80" s="2">
        <v>1</v>
      </c>
      <c r="AB80" s="2">
        <v>0</v>
      </c>
      <c r="AC80" s="2">
        <v>13</v>
      </c>
    </row>
    <row r="81" spans="1:29" x14ac:dyDescent="0.35">
      <c r="A81" s="37" t="s">
        <v>1389</v>
      </c>
      <c r="B81" s="37" t="s">
        <v>1290</v>
      </c>
      <c r="C81" s="18">
        <f>D81+E81+F81+G81+H81+I81</f>
        <v>24</v>
      </c>
      <c r="D81" s="21">
        <v>0</v>
      </c>
      <c r="E81" s="21">
        <v>0</v>
      </c>
      <c r="F81" s="21">
        <v>8</v>
      </c>
      <c r="G81" s="21">
        <v>5</v>
      </c>
      <c r="H81" s="21">
        <v>11</v>
      </c>
      <c r="I81" s="21">
        <v>0</v>
      </c>
      <c r="J81" s="21">
        <v>15</v>
      </c>
      <c r="K81" s="18">
        <f>J81+L81</f>
        <v>19</v>
      </c>
      <c r="L81" s="21">
        <v>4</v>
      </c>
      <c r="M81" s="21">
        <v>5</v>
      </c>
      <c r="N81" s="21">
        <f>180+36</f>
        <v>216</v>
      </c>
      <c r="O81" s="19">
        <f>N81/J81</f>
        <v>14.4</v>
      </c>
      <c r="P81" s="21">
        <v>0</v>
      </c>
      <c r="Q81" s="21">
        <v>0</v>
      </c>
      <c r="R81" s="21" t="s">
        <v>1394</v>
      </c>
      <c r="S81" s="37">
        <v>205.2</v>
      </c>
      <c r="T81" s="37">
        <v>38</v>
      </c>
      <c r="U81" s="37">
        <v>31</v>
      </c>
      <c r="V81" s="37">
        <f>601+46</f>
        <v>647</v>
      </c>
      <c r="W81" s="19">
        <f>V81/S81</f>
        <v>3.1530214424951271</v>
      </c>
      <c r="X81" s="19">
        <f>V81/U81</f>
        <v>20.870967741935484</v>
      </c>
      <c r="Y81" s="19">
        <f>S81*6/V81</f>
        <v>1.9029366306027817</v>
      </c>
      <c r="Z81" s="37" t="s">
        <v>1187</v>
      </c>
      <c r="AA81" s="37">
        <v>0</v>
      </c>
      <c r="AB81" s="37">
        <v>0</v>
      </c>
      <c r="AC81" s="21">
        <v>5</v>
      </c>
    </row>
    <row r="82" spans="1:29" x14ac:dyDescent="0.35">
      <c r="A82" s="1" t="s">
        <v>126</v>
      </c>
      <c r="B82" s="1" t="s">
        <v>94</v>
      </c>
      <c r="C82">
        <f>D82+E82+F82+G82+H82+I82</f>
        <v>9</v>
      </c>
      <c r="D82" s="2">
        <v>0</v>
      </c>
      <c r="E82" s="2">
        <v>0</v>
      </c>
      <c r="F82" s="2">
        <v>0</v>
      </c>
      <c r="G82" s="2">
        <v>5</v>
      </c>
      <c r="H82" s="2">
        <v>0</v>
      </c>
      <c r="I82" s="2">
        <v>4</v>
      </c>
      <c r="J82" s="2">
        <v>10</v>
      </c>
      <c r="K82">
        <f>J82+L82</f>
        <v>10</v>
      </c>
      <c r="L82" s="2">
        <v>0</v>
      </c>
      <c r="M82" s="2">
        <v>1</v>
      </c>
      <c r="N82" s="2">
        <v>166</v>
      </c>
      <c r="O82" s="3">
        <f>N82/J82</f>
        <v>16.600000000000001</v>
      </c>
      <c r="P82" s="2">
        <v>1</v>
      </c>
      <c r="Q82" s="2">
        <v>0</v>
      </c>
      <c r="R82" s="2">
        <v>54</v>
      </c>
      <c r="S82" s="2">
        <v>20</v>
      </c>
      <c r="T82" s="2">
        <v>6</v>
      </c>
      <c r="U82" s="2">
        <v>1</v>
      </c>
      <c r="V82" s="2">
        <v>55</v>
      </c>
      <c r="W82" s="3">
        <f>V82/S82</f>
        <v>2.75</v>
      </c>
      <c r="X82" s="3">
        <f>V82/U82</f>
        <v>55</v>
      </c>
      <c r="Y82" s="4">
        <f>S82*6/U82</f>
        <v>120</v>
      </c>
      <c r="Z82" s="2">
        <v>1</v>
      </c>
      <c r="AA82" s="2">
        <v>0</v>
      </c>
      <c r="AB82" s="2">
        <v>0</v>
      </c>
      <c r="AC82" s="2">
        <v>7</v>
      </c>
    </row>
    <row r="83" spans="1:29" x14ac:dyDescent="0.35">
      <c r="A83" s="1" t="s">
        <v>126</v>
      </c>
      <c r="B83" s="1" t="s">
        <v>127</v>
      </c>
      <c r="C83">
        <f>D83+E83+F83+G83+H83+I83</f>
        <v>2</v>
      </c>
      <c r="D83" s="2">
        <v>0</v>
      </c>
      <c r="E83" s="2">
        <v>0</v>
      </c>
      <c r="F83" s="2">
        <v>0</v>
      </c>
      <c r="G83" s="2">
        <v>1</v>
      </c>
      <c r="H83" s="2">
        <v>1</v>
      </c>
      <c r="I83" s="2">
        <v>0</v>
      </c>
      <c r="J83" s="2">
        <v>1</v>
      </c>
      <c r="K83">
        <f>J83+L83</f>
        <v>1</v>
      </c>
      <c r="L83" s="2">
        <v>0</v>
      </c>
      <c r="M83" s="2">
        <v>1</v>
      </c>
      <c r="N83" s="2">
        <v>2</v>
      </c>
      <c r="O83" s="3">
        <f>N83/J83</f>
        <v>2</v>
      </c>
      <c r="P83" s="2">
        <v>0</v>
      </c>
      <c r="Q83" s="2">
        <v>0</v>
      </c>
      <c r="R83" s="2">
        <v>2</v>
      </c>
      <c r="S83" s="2">
        <v>7</v>
      </c>
      <c r="T83" s="2">
        <v>2</v>
      </c>
      <c r="U83" s="2">
        <v>2</v>
      </c>
      <c r="V83" s="2">
        <v>15</v>
      </c>
      <c r="W83" s="3">
        <f>V83/S83</f>
        <v>2.1428571428571428</v>
      </c>
      <c r="X83" s="3">
        <f>V83/U83</f>
        <v>7.5</v>
      </c>
      <c r="Y83" s="4">
        <f>S83*6/U83</f>
        <v>21</v>
      </c>
      <c r="Z83" s="2">
        <v>1</v>
      </c>
      <c r="AA83" s="2">
        <v>0</v>
      </c>
      <c r="AB83" s="2">
        <v>0</v>
      </c>
      <c r="AC83" s="2">
        <v>0</v>
      </c>
    </row>
    <row r="84" spans="1:29" x14ac:dyDescent="0.35">
      <c r="A84" s="1" t="s">
        <v>128</v>
      </c>
      <c r="B84" s="1" t="s">
        <v>85</v>
      </c>
      <c r="C84">
        <f>D84+E84+F84+G84+H84+I84</f>
        <v>37</v>
      </c>
      <c r="D84" s="2">
        <v>0</v>
      </c>
      <c r="E84" s="2">
        <v>1</v>
      </c>
      <c r="F84" s="2">
        <v>12</v>
      </c>
      <c r="G84" s="2">
        <v>10</v>
      </c>
      <c r="H84" s="2">
        <v>7</v>
      </c>
      <c r="I84" s="2">
        <v>7</v>
      </c>
      <c r="J84" s="2">
        <v>64</v>
      </c>
      <c r="K84">
        <f>J84+L84</f>
        <v>65</v>
      </c>
      <c r="L84" s="2">
        <v>1</v>
      </c>
      <c r="M84" s="2">
        <v>1</v>
      </c>
      <c r="N84" s="2">
        <v>1858</v>
      </c>
      <c r="O84" s="3">
        <f>N84/J84</f>
        <v>29.03125</v>
      </c>
      <c r="P84" s="2">
        <v>10</v>
      </c>
      <c r="Q84" s="2">
        <v>3</v>
      </c>
      <c r="R84" s="2">
        <v>115</v>
      </c>
      <c r="S84" s="2">
        <v>18</v>
      </c>
      <c r="T84" s="2">
        <v>0</v>
      </c>
      <c r="U84" s="2">
        <v>3</v>
      </c>
      <c r="V84" s="2">
        <v>62</v>
      </c>
      <c r="W84" s="3">
        <f>V84/S84</f>
        <v>3.4444444444444446</v>
      </c>
      <c r="X84" s="3">
        <f>V84/U84</f>
        <v>20.666666666666668</v>
      </c>
      <c r="Y84" s="4">
        <f>S84*6/U84</f>
        <v>36</v>
      </c>
      <c r="Z84" s="2">
        <v>1</v>
      </c>
      <c r="AA84" s="2">
        <v>0</v>
      </c>
      <c r="AB84" s="2">
        <v>0</v>
      </c>
      <c r="AC84" s="2">
        <v>48</v>
      </c>
    </row>
    <row r="85" spans="1:29" x14ac:dyDescent="0.35">
      <c r="A85" s="1" t="s">
        <v>128</v>
      </c>
      <c r="B85" s="1" t="s">
        <v>77</v>
      </c>
      <c r="C85">
        <f>D85+E85+F85+G85+H85+I85</f>
        <v>20</v>
      </c>
      <c r="D85" s="2">
        <v>0</v>
      </c>
      <c r="E85" s="2">
        <v>2</v>
      </c>
      <c r="F85" s="2">
        <v>2</v>
      </c>
      <c r="G85" s="2">
        <v>3</v>
      </c>
      <c r="H85" s="2">
        <v>13</v>
      </c>
      <c r="I85" s="2">
        <v>0</v>
      </c>
      <c r="J85" s="2">
        <v>17</v>
      </c>
      <c r="K85">
        <f>J85+L85</f>
        <v>19</v>
      </c>
      <c r="L85" s="2">
        <v>2</v>
      </c>
      <c r="M85" s="2">
        <v>4</v>
      </c>
      <c r="N85" s="2">
        <v>343</v>
      </c>
      <c r="O85" s="3">
        <f>N85/J85</f>
        <v>20.176470588235293</v>
      </c>
      <c r="P85" s="2">
        <v>2</v>
      </c>
      <c r="Q85" s="2">
        <v>0</v>
      </c>
      <c r="R85" s="2">
        <v>54</v>
      </c>
      <c r="S85" s="2">
        <v>31</v>
      </c>
      <c r="T85" s="2">
        <v>8</v>
      </c>
      <c r="U85" s="2">
        <v>9</v>
      </c>
      <c r="V85" s="2">
        <v>71</v>
      </c>
      <c r="W85" s="3">
        <f>V85/S85</f>
        <v>2.2903225806451615</v>
      </c>
      <c r="X85" s="3">
        <f>V85/U85</f>
        <v>7.8888888888888893</v>
      </c>
      <c r="Y85" s="4">
        <f>S85*6/U85</f>
        <v>20.666666666666668</v>
      </c>
      <c r="Z85" s="2">
        <v>4</v>
      </c>
      <c r="AA85" s="2">
        <v>0</v>
      </c>
      <c r="AB85" s="2">
        <v>0</v>
      </c>
      <c r="AC85" s="2">
        <v>11</v>
      </c>
    </row>
    <row r="86" spans="1:29" x14ac:dyDescent="0.35">
      <c r="A86" s="35" t="s">
        <v>769</v>
      </c>
      <c r="B86" s="35" t="s">
        <v>898</v>
      </c>
      <c r="C86">
        <f>D86+E86+F86+G86+H86+I86</f>
        <v>7</v>
      </c>
      <c r="D86" s="5">
        <v>0</v>
      </c>
      <c r="E86" s="5">
        <v>0</v>
      </c>
      <c r="F86" s="5">
        <v>7</v>
      </c>
      <c r="G86" s="5">
        <v>0</v>
      </c>
      <c r="H86" s="5">
        <v>0</v>
      </c>
      <c r="I86" s="5">
        <v>0</v>
      </c>
      <c r="J86" s="5">
        <v>4</v>
      </c>
      <c r="K86">
        <f>J86+L86</f>
        <v>6</v>
      </c>
      <c r="L86" s="5">
        <v>2</v>
      </c>
      <c r="M86" s="5">
        <v>1</v>
      </c>
      <c r="N86" s="5">
        <v>131</v>
      </c>
      <c r="O86" s="3">
        <f>N86/J86</f>
        <v>32.75</v>
      </c>
      <c r="P86" s="5">
        <v>1</v>
      </c>
      <c r="Q86" s="5">
        <v>0</v>
      </c>
      <c r="R86" s="35" t="s">
        <v>1235</v>
      </c>
      <c r="S86" s="35">
        <v>20</v>
      </c>
      <c r="T86" s="35">
        <v>3</v>
      </c>
      <c r="U86" s="35">
        <v>0</v>
      </c>
      <c r="V86" s="35">
        <v>73</v>
      </c>
      <c r="W86" s="3">
        <f>V86/S86</f>
        <v>3.65</v>
      </c>
      <c r="X86" s="3">
        <v>0</v>
      </c>
      <c r="Y86" s="3">
        <v>0</v>
      </c>
      <c r="Z86" s="35" t="s">
        <v>1218</v>
      </c>
      <c r="AA86" s="35">
        <v>0</v>
      </c>
      <c r="AB86" s="35">
        <v>0</v>
      </c>
      <c r="AC86" s="45">
        <v>5</v>
      </c>
    </row>
    <row r="87" spans="1:29" x14ac:dyDescent="0.35">
      <c r="A87" s="1" t="s">
        <v>129</v>
      </c>
      <c r="B87" s="1" t="s">
        <v>130</v>
      </c>
      <c r="C87">
        <f>D87+E87+F87+G87+H87+I87</f>
        <v>25</v>
      </c>
      <c r="D87" s="2">
        <v>0</v>
      </c>
      <c r="E87" s="2">
        <v>12</v>
      </c>
      <c r="F87" s="2">
        <v>11</v>
      </c>
      <c r="G87" s="2">
        <v>2</v>
      </c>
      <c r="H87" s="2">
        <v>0</v>
      </c>
      <c r="I87" s="2">
        <v>0</v>
      </c>
      <c r="J87" s="2">
        <v>38</v>
      </c>
      <c r="K87">
        <f>J87+L87</f>
        <v>42</v>
      </c>
      <c r="L87" s="2">
        <v>4</v>
      </c>
      <c r="M87" s="2">
        <v>1</v>
      </c>
      <c r="N87" s="2">
        <v>971</v>
      </c>
      <c r="O87" s="3">
        <f>N87/J87</f>
        <v>25.55263157894737</v>
      </c>
      <c r="P87" s="2">
        <v>4</v>
      </c>
      <c r="Q87" s="2">
        <v>1</v>
      </c>
      <c r="R87" s="2">
        <v>100</v>
      </c>
      <c r="S87" s="2">
        <v>52</v>
      </c>
      <c r="T87" s="2">
        <v>11</v>
      </c>
      <c r="U87" s="2">
        <v>8</v>
      </c>
      <c r="V87" s="2">
        <v>194</v>
      </c>
      <c r="W87" s="3">
        <f>V87/S87</f>
        <v>3.7307692307692308</v>
      </c>
      <c r="X87" s="3">
        <f>V87/U87</f>
        <v>24.25</v>
      </c>
      <c r="Y87" s="4">
        <f>S87*6/U87</f>
        <v>39</v>
      </c>
      <c r="Z87" s="2">
        <v>4</v>
      </c>
      <c r="AA87" s="2">
        <v>0</v>
      </c>
      <c r="AB87" s="2">
        <v>0</v>
      </c>
      <c r="AC87" s="2">
        <v>19</v>
      </c>
    </row>
    <row r="88" spans="1:29" x14ac:dyDescent="0.35">
      <c r="A88" s="37" t="s">
        <v>1435</v>
      </c>
      <c r="B88" s="37" t="s">
        <v>87</v>
      </c>
      <c r="C88" s="18">
        <f>D88+E88+F88+G88+H88+I88</f>
        <v>7</v>
      </c>
      <c r="D88" s="37">
        <v>0</v>
      </c>
      <c r="E88" s="37">
        <v>0</v>
      </c>
      <c r="F88" s="37">
        <v>0</v>
      </c>
      <c r="G88" s="37">
        <v>0</v>
      </c>
      <c r="H88" s="37">
        <v>7</v>
      </c>
      <c r="I88" s="37">
        <v>0</v>
      </c>
      <c r="J88" s="37">
        <v>3</v>
      </c>
      <c r="K88" s="18">
        <f>J88+L88</f>
        <v>7</v>
      </c>
      <c r="L88" s="37">
        <v>4</v>
      </c>
      <c r="M88" s="37">
        <v>0</v>
      </c>
      <c r="N88" s="37">
        <v>59</v>
      </c>
      <c r="O88" s="19">
        <f>N88/J88</f>
        <v>19.666666666666668</v>
      </c>
      <c r="P88" s="37">
        <v>0</v>
      </c>
      <c r="Q88" s="37">
        <v>0</v>
      </c>
      <c r="R88" s="37">
        <v>21</v>
      </c>
      <c r="S88" s="37">
        <v>13</v>
      </c>
      <c r="T88" s="37">
        <v>1</v>
      </c>
      <c r="U88" s="37">
        <v>3</v>
      </c>
      <c r="V88" s="37">
        <v>77</v>
      </c>
      <c r="W88" s="18">
        <v>5.92</v>
      </c>
      <c r="X88" s="18">
        <v>25.67</v>
      </c>
      <c r="Y88" s="18">
        <v>26</v>
      </c>
      <c r="Z88" s="37" t="s">
        <v>1438</v>
      </c>
      <c r="AA88" s="37">
        <v>0</v>
      </c>
      <c r="AB88" s="37">
        <v>0</v>
      </c>
      <c r="AC88" s="37">
        <v>3</v>
      </c>
    </row>
    <row r="89" spans="1:29" x14ac:dyDescent="0.35">
      <c r="A89" s="37" t="s">
        <v>1435</v>
      </c>
      <c r="B89" s="37" t="s">
        <v>417</v>
      </c>
      <c r="C89" s="18">
        <f>D89+E89+F89+G89+H89+I89</f>
        <v>11</v>
      </c>
      <c r="D89" s="37">
        <v>0</v>
      </c>
      <c r="E89" s="37">
        <v>0</v>
      </c>
      <c r="F89" s="37">
        <v>0</v>
      </c>
      <c r="G89" s="37">
        <v>0</v>
      </c>
      <c r="H89" s="37">
        <v>11</v>
      </c>
      <c r="I89" s="37">
        <v>0</v>
      </c>
      <c r="J89" s="37">
        <v>10</v>
      </c>
      <c r="K89" s="18">
        <f>J89+L89</f>
        <v>11</v>
      </c>
      <c r="L89" s="37">
        <v>1</v>
      </c>
      <c r="M89" s="37">
        <v>0</v>
      </c>
      <c r="N89" s="37">
        <v>109</v>
      </c>
      <c r="O89" s="19">
        <f>N89/J89</f>
        <v>10.9</v>
      </c>
      <c r="P89" s="37">
        <v>1</v>
      </c>
      <c r="Q89" s="37">
        <v>0</v>
      </c>
      <c r="R89" s="37">
        <v>53</v>
      </c>
      <c r="S89" s="37">
        <v>63</v>
      </c>
      <c r="T89" s="37">
        <v>6</v>
      </c>
      <c r="U89" s="37">
        <v>8</v>
      </c>
      <c r="V89" s="37">
        <v>360</v>
      </c>
      <c r="W89" s="18">
        <v>5.71</v>
      </c>
      <c r="X89" s="18">
        <v>45</v>
      </c>
      <c r="Y89" s="18">
        <v>47.25</v>
      </c>
      <c r="Z89" s="37" t="s">
        <v>1266</v>
      </c>
      <c r="AA89" s="37">
        <v>0</v>
      </c>
      <c r="AB89" s="37">
        <v>0</v>
      </c>
      <c r="AC89" s="37">
        <v>1</v>
      </c>
    </row>
    <row r="90" spans="1:29" x14ac:dyDescent="0.35">
      <c r="A90" s="7" t="s">
        <v>1184</v>
      </c>
      <c r="B90" s="7" t="s">
        <v>1185</v>
      </c>
      <c r="C90">
        <f>D90+E90+F90+G90+H90+I90</f>
        <v>17</v>
      </c>
      <c r="D90" s="5">
        <v>17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11</v>
      </c>
      <c r="K90" s="8">
        <f>J90+L90</f>
        <v>13</v>
      </c>
      <c r="L90" s="5">
        <v>2</v>
      </c>
      <c r="M90" s="5">
        <v>4</v>
      </c>
      <c r="N90" s="5">
        <f>175+226</f>
        <v>401</v>
      </c>
      <c r="O90" s="3">
        <f>N90/J90</f>
        <v>36.454545454545453</v>
      </c>
      <c r="P90" s="5">
        <v>3</v>
      </c>
      <c r="Q90" s="5">
        <v>0</v>
      </c>
      <c r="R90" s="5" t="s">
        <v>1296</v>
      </c>
      <c r="S90">
        <f>68+40</f>
        <v>108</v>
      </c>
      <c r="T90">
        <v>14</v>
      </c>
      <c r="U90">
        <v>18</v>
      </c>
      <c r="V90">
        <f>263+195</f>
        <v>458</v>
      </c>
      <c r="W90" s="3">
        <f>V90/S90</f>
        <v>4.2407407407407405</v>
      </c>
      <c r="X90" s="3">
        <f>V90/U90</f>
        <v>25.444444444444443</v>
      </c>
      <c r="Y90" s="3">
        <f>S90*6/U90</f>
        <v>36</v>
      </c>
      <c r="Z90" t="s">
        <v>1186</v>
      </c>
      <c r="AA90" s="5">
        <v>0</v>
      </c>
      <c r="AB90" s="5">
        <v>0</v>
      </c>
      <c r="AC90" s="5">
        <v>2</v>
      </c>
    </row>
    <row r="91" spans="1:29" x14ac:dyDescent="0.35">
      <c r="A91" s="1" t="s">
        <v>131</v>
      </c>
      <c r="B91" s="1" t="s">
        <v>132</v>
      </c>
      <c r="C91">
        <f>D91+E91+F91+G91+H91+I91</f>
        <v>1</v>
      </c>
      <c r="D91" s="2">
        <v>0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>
        <f>J91+L91</f>
        <v>1</v>
      </c>
      <c r="L91" s="2">
        <v>0</v>
      </c>
      <c r="M91" s="2">
        <v>1</v>
      </c>
      <c r="N91" s="2">
        <v>1</v>
      </c>
      <c r="O91" s="3">
        <f>N91/J91</f>
        <v>1</v>
      </c>
      <c r="P91" s="2">
        <v>0</v>
      </c>
      <c r="Q91" s="2">
        <v>0</v>
      </c>
      <c r="R91" s="2">
        <v>1</v>
      </c>
      <c r="S91" s="2">
        <v>6</v>
      </c>
      <c r="T91" s="2">
        <v>0</v>
      </c>
      <c r="U91" s="2">
        <v>0</v>
      </c>
      <c r="V91" s="2">
        <v>25</v>
      </c>
      <c r="W91" s="3">
        <f>V91/S91</f>
        <v>4.166666666666667</v>
      </c>
      <c r="X91" s="3" t="e">
        <f>V91/U91</f>
        <v>#DIV/0!</v>
      </c>
      <c r="Y91" s="4" t="e">
        <f>S91*6/U91</f>
        <v>#DIV/0!</v>
      </c>
      <c r="Z91" s="2">
        <v>0</v>
      </c>
      <c r="AA91" s="2">
        <v>0</v>
      </c>
      <c r="AB91" s="2">
        <v>0</v>
      </c>
      <c r="AC91" s="2">
        <v>0</v>
      </c>
    </row>
    <row r="92" spans="1:29" x14ac:dyDescent="0.35">
      <c r="A92" s="1" t="s">
        <v>133</v>
      </c>
      <c r="B92" s="1" t="s">
        <v>134</v>
      </c>
      <c r="C92">
        <f>D92+E92+F92+G92+H92+I92</f>
        <v>17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17</v>
      </c>
      <c r="J92" s="2">
        <v>17</v>
      </c>
      <c r="K92">
        <f>J92+L92</f>
        <v>18</v>
      </c>
      <c r="L92" s="2">
        <v>1</v>
      </c>
      <c r="M92" s="2">
        <v>1</v>
      </c>
      <c r="N92" s="2">
        <v>257</v>
      </c>
      <c r="O92" s="3">
        <f>N92/J92</f>
        <v>15.117647058823529</v>
      </c>
      <c r="P92" s="2">
        <v>0</v>
      </c>
      <c r="Q92" s="2">
        <v>0</v>
      </c>
      <c r="R92" s="2">
        <v>41</v>
      </c>
      <c r="S92" s="2">
        <v>3</v>
      </c>
      <c r="T92" s="2">
        <v>0</v>
      </c>
      <c r="U92" s="2">
        <v>0</v>
      </c>
      <c r="V92" s="2">
        <v>21</v>
      </c>
      <c r="W92" s="3">
        <f>V92/S92</f>
        <v>7</v>
      </c>
      <c r="X92" s="3" t="e">
        <f>V92/U92</f>
        <v>#DIV/0!</v>
      </c>
      <c r="Y92" s="4" t="e">
        <f>S92*6/U92</f>
        <v>#DIV/0!</v>
      </c>
      <c r="Z92" s="2">
        <v>0</v>
      </c>
      <c r="AA92" s="2">
        <v>0</v>
      </c>
      <c r="AB92" s="2">
        <v>0</v>
      </c>
      <c r="AC92" s="2">
        <v>5</v>
      </c>
    </row>
    <row r="93" spans="1:29" x14ac:dyDescent="0.35">
      <c r="A93" s="1" t="s">
        <v>135</v>
      </c>
      <c r="B93" s="1" t="s">
        <v>136</v>
      </c>
      <c r="C93">
        <f>D93+E93+F93+G93+H93+I93</f>
        <v>12</v>
      </c>
      <c r="D93" s="2">
        <v>0</v>
      </c>
      <c r="E93" s="2">
        <v>0</v>
      </c>
      <c r="F93" s="2">
        <v>0</v>
      </c>
      <c r="G93" s="2">
        <v>0</v>
      </c>
      <c r="H93" s="2">
        <v>5</v>
      </c>
      <c r="I93" s="2">
        <v>7</v>
      </c>
      <c r="J93" s="2">
        <v>5</v>
      </c>
      <c r="K93">
        <f>J93+L93</f>
        <v>8</v>
      </c>
      <c r="L93" s="2">
        <v>3</v>
      </c>
      <c r="M93" s="2">
        <v>5</v>
      </c>
      <c r="N93" s="2">
        <v>107</v>
      </c>
      <c r="O93" s="3">
        <f>N93/J93</f>
        <v>21.4</v>
      </c>
      <c r="P93" s="2">
        <v>0</v>
      </c>
      <c r="Q93" s="2">
        <v>0</v>
      </c>
      <c r="R93" s="2">
        <v>35</v>
      </c>
      <c r="S93" s="2">
        <v>135</v>
      </c>
      <c r="T93" s="2">
        <v>16</v>
      </c>
      <c r="U93" s="2">
        <v>12</v>
      </c>
      <c r="V93" s="2">
        <v>405</v>
      </c>
      <c r="W93" s="3">
        <f>V93/S93</f>
        <v>3</v>
      </c>
      <c r="X93" s="3">
        <f>V93/U93</f>
        <v>33.75</v>
      </c>
      <c r="Y93" s="4">
        <f>S93*6/U93</f>
        <v>67.5</v>
      </c>
      <c r="Z93" s="2">
        <v>2</v>
      </c>
      <c r="AA93" s="2">
        <v>0</v>
      </c>
      <c r="AB93" s="2">
        <v>0</v>
      </c>
      <c r="AC93" s="2">
        <v>0</v>
      </c>
    </row>
    <row r="94" spans="1:29" x14ac:dyDescent="0.35">
      <c r="A94" s="1" t="s">
        <v>137</v>
      </c>
      <c r="B94" s="1" t="s">
        <v>138</v>
      </c>
      <c r="C94">
        <f>D94+E94+F94+G94+H94+I94</f>
        <v>1</v>
      </c>
      <c r="D94" s="2">
        <v>0</v>
      </c>
      <c r="E94" s="2">
        <v>0</v>
      </c>
      <c r="F94" s="2">
        <v>1</v>
      </c>
      <c r="G94" s="2">
        <v>0</v>
      </c>
      <c r="H94" s="2">
        <v>0</v>
      </c>
      <c r="I94" s="2">
        <v>0</v>
      </c>
      <c r="J94" s="2">
        <v>2</v>
      </c>
      <c r="K94">
        <f>J94+L94</f>
        <v>2</v>
      </c>
      <c r="L94" s="2">
        <v>0</v>
      </c>
      <c r="M94" s="2">
        <v>0</v>
      </c>
      <c r="N94" s="2">
        <v>2</v>
      </c>
      <c r="O94" s="3">
        <f>N94/J94</f>
        <v>1</v>
      </c>
      <c r="P94" s="2">
        <v>0</v>
      </c>
      <c r="Q94" s="2">
        <v>0</v>
      </c>
      <c r="R94" s="2">
        <v>1</v>
      </c>
      <c r="S94" s="2">
        <v>1</v>
      </c>
      <c r="T94" s="2">
        <v>0</v>
      </c>
      <c r="U94" s="2">
        <v>0</v>
      </c>
      <c r="V94" s="2">
        <v>7</v>
      </c>
      <c r="W94" s="3">
        <f>V94/S94</f>
        <v>7</v>
      </c>
      <c r="X94" s="3" t="e">
        <f>V94/U94</f>
        <v>#DIV/0!</v>
      </c>
      <c r="Y94" s="4" t="e">
        <f>S94*6/U94</f>
        <v>#DIV/0!</v>
      </c>
      <c r="Z94" s="2">
        <v>0</v>
      </c>
      <c r="AA94" s="2">
        <v>0</v>
      </c>
      <c r="AB94" s="2">
        <v>0</v>
      </c>
      <c r="AC94" s="2">
        <v>0</v>
      </c>
    </row>
    <row r="95" spans="1:29" x14ac:dyDescent="0.35">
      <c r="A95" s="1" t="s">
        <v>139</v>
      </c>
      <c r="B95" s="1" t="s">
        <v>140</v>
      </c>
      <c r="C95">
        <f>D95+E95+F95+G95+H95+I95</f>
        <v>2</v>
      </c>
      <c r="D95" s="2">
        <v>0</v>
      </c>
      <c r="E95" s="2">
        <v>0</v>
      </c>
      <c r="F95" s="2">
        <v>2</v>
      </c>
      <c r="G95" s="2">
        <v>0</v>
      </c>
      <c r="H95" s="2">
        <v>0</v>
      </c>
      <c r="I95" s="2">
        <v>0</v>
      </c>
      <c r="J95" s="2">
        <v>2</v>
      </c>
      <c r="K95">
        <f>J95+L95</f>
        <v>2</v>
      </c>
      <c r="L95" s="2">
        <v>0</v>
      </c>
      <c r="M95" s="2">
        <v>1</v>
      </c>
      <c r="N95" s="2">
        <v>3</v>
      </c>
      <c r="O95" s="3">
        <f>N95/J95</f>
        <v>1.5</v>
      </c>
      <c r="P95" s="2">
        <v>0</v>
      </c>
      <c r="Q95" s="2">
        <v>0</v>
      </c>
      <c r="R95" s="2">
        <v>3</v>
      </c>
      <c r="S95" s="2">
        <v>3</v>
      </c>
      <c r="T95" s="2">
        <v>0</v>
      </c>
      <c r="U95" s="2">
        <v>0</v>
      </c>
      <c r="V95" s="2">
        <v>9</v>
      </c>
      <c r="W95" s="3">
        <f>V95/S95</f>
        <v>3</v>
      </c>
      <c r="X95" s="3" t="e">
        <f>V95/U95</f>
        <v>#DIV/0!</v>
      </c>
      <c r="Y95" s="4" t="e">
        <f>S95*6/U95</f>
        <v>#DIV/0!</v>
      </c>
      <c r="Z95" s="2">
        <v>0</v>
      </c>
      <c r="AA95" s="2">
        <v>0</v>
      </c>
      <c r="AB95" s="2">
        <v>0</v>
      </c>
      <c r="AC95" s="2">
        <v>1</v>
      </c>
    </row>
    <row r="96" spans="1:29" x14ac:dyDescent="0.35">
      <c r="A96" s="1" t="s">
        <v>141</v>
      </c>
      <c r="B96" s="1" t="s">
        <v>142</v>
      </c>
      <c r="C96">
        <f>D96+E96+F96+G96+H96+I96</f>
        <v>3</v>
      </c>
      <c r="D96" s="2">
        <v>0</v>
      </c>
      <c r="E96" s="2">
        <v>0</v>
      </c>
      <c r="F96" s="2">
        <v>0</v>
      </c>
      <c r="G96" s="2">
        <v>3</v>
      </c>
      <c r="H96" s="2">
        <v>0</v>
      </c>
      <c r="I96" s="2">
        <v>0</v>
      </c>
      <c r="J96" s="2">
        <v>2</v>
      </c>
      <c r="K96">
        <f>J96+L96</f>
        <v>2</v>
      </c>
      <c r="L96" s="2">
        <v>0</v>
      </c>
      <c r="M96" s="2">
        <v>1</v>
      </c>
      <c r="N96" s="2">
        <v>5</v>
      </c>
      <c r="O96" s="3">
        <f>N96/J96</f>
        <v>2.5</v>
      </c>
      <c r="P96" s="2">
        <v>0</v>
      </c>
      <c r="Q96" s="2">
        <v>0</v>
      </c>
      <c r="R96" s="2">
        <v>5</v>
      </c>
      <c r="S96" s="2">
        <v>15</v>
      </c>
      <c r="T96" s="2">
        <v>2</v>
      </c>
      <c r="U96" s="2">
        <v>3</v>
      </c>
      <c r="V96" s="2">
        <v>86</v>
      </c>
      <c r="W96" s="3">
        <f>V96/S96</f>
        <v>5.7333333333333334</v>
      </c>
      <c r="X96" s="3">
        <f>V96/U96</f>
        <v>28.666666666666668</v>
      </c>
      <c r="Y96" s="4">
        <f>S96*6/U96</f>
        <v>30</v>
      </c>
      <c r="Z96" s="2">
        <v>3</v>
      </c>
      <c r="AA96" s="2">
        <v>0</v>
      </c>
      <c r="AB96" s="2">
        <v>0</v>
      </c>
      <c r="AC96" s="2">
        <v>0</v>
      </c>
    </row>
    <row r="97" spans="1:29" x14ac:dyDescent="0.35">
      <c r="A97" s="1" t="s">
        <v>143</v>
      </c>
      <c r="B97" s="1" t="s">
        <v>144</v>
      </c>
      <c r="C97">
        <f>D97+E97+F97+G97+H97+I97</f>
        <v>204</v>
      </c>
      <c r="D97" s="2">
        <v>0</v>
      </c>
      <c r="E97" s="2">
        <v>27</v>
      </c>
      <c r="F97" s="2">
        <v>12</v>
      </c>
      <c r="G97" s="2">
        <v>101</v>
      </c>
      <c r="H97" s="2">
        <v>58</v>
      </c>
      <c r="I97" s="2">
        <v>6</v>
      </c>
      <c r="J97" s="2">
        <v>123</v>
      </c>
      <c r="K97">
        <f>J97+L97</f>
        <v>158</v>
      </c>
      <c r="L97" s="2">
        <v>35</v>
      </c>
      <c r="M97" s="2">
        <v>85</v>
      </c>
      <c r="N97" s="2">
        <v>1812</v>
      </c>
      <c r="O97" s="3">
        <f>N97/J97</f>
        <v>14.731707317073171</v>
      </c>
      <c r="P97" s="2">
        <v>5</v>
      </c>
      <c r="Q97" s="2">
        <v>0</v>
      </c>
      <c r="R97" s="2">
        <v>86</v>
      </c>
      <c r="S97" s="2">
        <v>1547</v>
      </c>
      <c r="T97" s="2">
        <v>330</v>
      </c>
      <c r="U97" s="2">
        <v>275</v>
      </c>
      <c r="V97" s="2">
        <v>4627</v>
      </c>
      <c r="W97" s="3">
        <f>V97/S97</f>
        <v>2.9909502262443439</v>
      </c>
      <c r="X97" s="3">
        <f>V97/U97</f>
        <v>16.825454545454544</v>
      </c>
      <c r="Y97" s="4">
        <f>S97*6/U97</f>
        <v>33.75272727272727</v>
      </c>
      <c r="Z97" s="2">
        <v>7</v>
      </c>
      <c r="AA97" s="2">
        <v>9</v>
      </c>
      <c r="AB97" s="2">
        <v>0</v>
      </c>
      <c r="AC97" s="2">
        <v>55</v>
      </c>
    </row>
    <row r="98" spans="1:29" x14ac:dyDescent="0.35">
      <c r="A98" s="1" t="s">
        <v>143</v>
      </c>
      <c r="B98" s="1" t="s">
        <v>20</v>
      </c>
      <c r="C98">
        <f>D98+E98+F98+G98+H98+I98</f>
        <v>53</v>
      </c>
      <c r="D98" s="2">
        <v>0</v>
      </c>
      <c r="E98" s="2">
        <v>1</v>
      </c>
      <c r="F98" s="2">
        <v>14</v>
      </c>
      <c r="G98" s="2">
        <v>25</v>
      </c>
      <c r="H98" s="2">
        <v>13</v>
      </c>
      <c r="I98" s="2">
        <v>0</v>
      </c>
      <c r="J98" s="2">
        <v>78</v>
      </c>
      <c r="K98">
        <f>J98+L98</f>
        <v>86</v>
      </c>
      <c r="L98" s="2">
        <v>8</v>
      </c>
      <c r="M98" s="2">
        <v>12</v>
      </c>
      <c r="N98" s="2">
        <v>1094</v>
      </c>
      <c r="O98" s="3">
        <f>N98/J98</f>
        <v>14.025641025641026</v>
      </c>
      <c r="P98" s="2">
        <v>4</v>
      </c>
      <c r="Q98" s="2">
        <v>0</v>
      </c>
      <c r="R98" s="2">
        <v>65</v>
      </c>
      <c r="S98" s="2">
        <v>226</v>
      </c>
      <c r="T98" s="2">
        <v>21</v>
      </c>
      <c r="U98" s="2">
        <v>43</v>
      </c>
      <c r="V98" s="2">
        <v>975</v>
      </c>
      <c r="W98" s="3">
        <f>V98/S98</f>
        <v>4.3141592920353986</v>
      </c>
      <c r="X98" s="3">
        <f>V98/U98</f>
        <v>22.674418604651162</v>
      </c>
      <c r="Y98" s="4">
        <f>S98*6/U98</f>
        <v>31.534883720930232</v>
      </c>
      <c r="Z98" s="2">
        <v>4</v>
      </c>
      <c r="AA98" s="2">
        <v>0</v>
      </c>
      <c r="AB98" s="2">
        <v>0</v>
      </c>
      <c r="AC98" s="2">
        <v>40</v>
      </c>
    </row>
    <row r="99" spans="1:29" x14ac:dyDescent="0.35">
      <c r="A99" s="1" t="s">
        <v>143</v>
      </c>
      <c r="B99" s="1" t="s">
        <v>31</v>
      </c>
      <c r="C99">
        <f>D99+E99+F99+G99+H99+I99</f>
        <v>37</v>
      </c>
      <c r="D99" s="2">
        <v>0</v>
      </c>
      <c r="E99" s="2">
        <v>5</v>
      </c>
      <c r="F99" s="2">
        <v>0</v>
      </c>
      <c r="G99" s="2">
        <v>12</v>
      </c>
      <c r="H99" s="2">
        <v>10</v>
      </c>
      <c r="I99" s="2">
        <v>10</v>
      </c>
      <c r="J99" s="2">
        <v>32</v>
      </c>
      <c r="K99">
        <f>J99+L99</f>
        <v>36</v>
      </c>
      <c r="L99" s="2">
        <v>4</v>
      </c>
      <c r="M99" s="2">
        <v>5</v>
      </c>
      <c r="N99" s="2">
        <v>399</v>
      </c>
      <c r="O99" s="3">
        <f>N99/J99</f>
        <v>12.46875</v>
      </c>
      <c r="P99" s="2">
        <v>1</v>
      </c>
      <c r="Q99" s="2">
        <v>0</v>
      </c>
      <c r="R99" s="2">
        <v>53</v>
      </c>
      <c r="S99" s="2">
        <v>40</v>
      </c>
      <c r="T99" s="2">
        <v>0</v>
      </c>
      <c r="U99" s="2">
        <v>3</v>
      </c>
      <c r="V99" s="2">
        <v>166</v>
      </c>
      <c r="W99" s="3">
        <f>V99/S99</f>
        <v>4.1500000000000004</v>
      </c>
      <c r="X99" s="3">
        <f>V99/U99</f>
        <v>55.333333333333336</v>
      </c>
      <c r="Y99" s="4">
        <f>S99*6/U99</f>
        <v>80</v>
      </c>
      <c r="Z99" s="2">
        <v>1</v>
      </c>
      <c r="AA99" s="2">
        <v>0</v>
      </c>
      <c r="AB99" s="2">
        <v>0</v>
      </c>
      <c r="AC99" s="2">
        <v>12</v>
      </c>
    </row>
    <row r="100" spans="1:29" x14ac:dyDescent="0.35">
      <c r="A100" s="1" t="s">
        <v>145</v>
      </c>
      <c r="B100" s="1" t="s">
        <v>146</v>
      </c>
      <c r="C100">
        <f>D100+E100+F100+G100+H100+I100</f>
        <v>98</v>
      </c>
      <c r="D100" s="2">
        <v>42</v>
      </c>
      <c r="E100" s="2">
        <v>52</v>
      </c>
      <c r="F100" s="2">
        <v>1</v>
      </c>
      <c r="G100" s="2">
        <v>1</v>
      </c>
      <c r="H100" s="2">
        <v>2</v>
      </c>
      <c r="I100" s="2">
        <v>0</v>
      </c>
      <c r="J100" s="2">
        <v>87</v>
      </c>
      <c r="K100">
        <f>J100+L100</f>
        <v>93</v>
      </c>
      <c r="L100" s="2">
        <v>6</v>
      </c>
      <c r="M100" s="2">
        <v>8</v>
      </c>
      <c r="N100" s="2">
        <v>1964</v>
      </c>
      <c r="O100" s="3">
        <f>N100/J100</f>
        <v>22.574712643678161</v>
      </c>
      <c r="P100" s="2">
        <v>11</v>
      </c>
      <c r="Q100" s="2">
        <v>0</v>
      </c>
      <c r="R100" s="2">
        <v>76</v>
      </c>
      <c r="S100" s="2">
        <v>11</v>
      </c>
      <c r="T100" s="2">
        <v>1</v>
      </c>
      <c r="U100" s="2">
        <v>1</v>
      </c>
      <c r="V100" s="2">
        <v>44</v>
      </c>
      <c r="W100" s="3">
        <f>V100/S100</f>
        <v>4</v>
      </c>
      <c r="X100" s="3">
        <f>V100/U100</f>
        <v>44</v>
      </c>
      <c r="Y100" s="4">
        <f>S100*6/U100</f>
        <v>66</v>
      </c>
      <c r="Z100" s="2">
        <v>1</v>
      </c>
      <c r="AA100" s="2">
        <v>0</v>
      </c>
      <c r="AB100" s="2">
        <v>0</v>
      </c>
      <c r="AC100" s="2">
        <v>34</v>
      </c>
    </row>
    <row r="101" spans="1:29" x14ac:dyDescent="0.35">
      <c r="A101" s="1" t="s">
        <v>147</v>
      </c>
      <c r="B101" s="1" t="s">
        <v>110</v>
      </c>
      <c r="C101">
        <f>D101+E101+F101+G101+H101+I101</f>
        <v>4</v>
      </c>
      <c r="D101" s="2">
        <v>0</v>
      </c>
      <c r="E101" s="2">
        <v>2</v>
      </c>
      <c r="F101" s="2">
        <v>2</v>
      </c>
      <c r="G101" s="2">
        <v>0</v>
      </c>
      <c r="H101" s="2">
        <v>0</v>
      </c>
      <c r="I101" s="2">
        <v>0</v>
      </c>
      <c r="J101" s="2">
        <v>3</v>
      </c>
      <c r="K101">
        <f>J101+L101</f>
        <v>3</v>
      </c>
      <c r="L101" s="2">
        <v>0</v>
      </c>
      <c r="M101" s="2">
        <v>1</v>
      </c>
      <c r="N101" s="2">
        <v>18</v>
      </c>
      <c r="O101" s="3">
        <f>N101/J101</f>
        <v>6</v>
      </c>
      <c r="P101" s="2">
        <v>0</v>
      </c>
      <c r="Q101" s="2">
        <v>0</v>
      </c>
      <c r="R101" s="2">
        <v>10</v>
      </c>
      <c r="S101" s="2">
        <v>39</v>
      </c>
      <c r="T101" s="2">
        <v>10</v>
      </c>
      <c r="U101" s="2">
        <v>3</v>
      </c>
      <c r="V101" s="2">
        <v>81</v>
      </c>
      <c r="W101" s="3">
        <f>V101/S101</f>
        <v>2.0769230769230771</v>
      </c>
      <c r="X101" s="3">
        <f>V101/U101</f>
        <v>27</v>
      </c>
      <c r="Y101" s="4">
        <f>S101*6/U101</f>
        <v>78</v>
      </c>
      <c r="Z101" s="2">
        <v>3</v>
      </c>
      <c r="AA101" s="2">
        <v>0</v>
      </c>
      <c r="AB101" s="2">
        <v>0</v>
      </c>
      <c r="AC101" s="2">
        <v>1</v>
      </c>
    </row>
    <row r="102" spans="1:29" x14ac:dyDescent="0.35">
      <c r="A102" s="1" t="s">
        <v>148</v>
      </c>
      <c r="B102" s="1" t="s">
        <v>149</v>
      </c>
      <c r="C102">
        <f>D102+E102+F102+G102+H102+I102</f>
        <v>9</v>
      </c>
      <c r="D102" s="2">
        <v>0</v>
      </c>
      <c r="E102" s="2">
        <v>0</v>
      </c>
      <c r="F102" s="2">
        <v>6</v>
      </c>
      <c r="G102" s="2">
        <v>0</v>
      </c>
      <c r="H102" s="2">
        <v>0</v>
      </c>
      <c r="I102" s="2">
        <v>3</v>
      </c>
      <c r="J102" s="2">
        <v>6</v>
      </c>
      <c r="K102">
        <f>J102+L102</f>
        <v>8</v>
      </c>
      <c r="L102" s="2">
        <v>2</v>
      </c>
      <c r="M102" s="2">
        <v>2</v>
      </c>
      <c r="N102" s="2">
        <v>126</v>
      </c>
      <c r="O102" s="3">
        <f>N102/J102</f>
        <v>21</v>
      </c>
      <c r="P102" s="2">
        <v>0</v>
      </c>
      <c r="Q102" s="2">
        <v>0</v>
      </c>
      <c r="R102" s="2">
        <v>35</v>
      </c>
      <c r="S102" s="2">
        <v>125</v>
      </c>
      <c r="T102" s="2">
        <v>23</v>
      </c>
      <c r="U102" s="2">
        <v>14</v>
      </c>
      <c r="V102" s="2">
        <v>411</v>
      </c>
      <c r="W102" s="3">
        <f>V102/S102</f>
        <v>3.2879999999999998</v>
      </c>
      <c r="X102" s="3">
        <f>V102/U102</f>
        <v>29.357142857142858</v>
      </c>
      <c r="Y102" s="4">
        <f>S102*6/U102</f>
        <v>53.571428571428569</v>
      </c>
      <c r="Z102" s="2">
        <v>6</v>
      </c>
      <c r="AA102" s="2">
        <v>1</v>
      </c>
      <c r="AB102" s="2">
        <v>0</v>
      </c>
      <c r="AC102" s="2">
        <v>0</v>
      </c>
    </row>
    <row r="103" spans="1:29" x14ac:dyDescent="0.35">
      <c r="A103" s="1" t="s">
        <v>150</v>
      </c>
      <c r="B103" s="1" t="s">
        <v>151</v>
      </c>
      <c r="C103">
        <f>D103+E103+F103+G103+H103+I103</f>
        <v>1</v>
      </c>
      <c r="D103" s="2">
        <v>0</v>
      </c>
      <c r="E103" s="2">
        <v>0</v>
      </c>
      <c r="F103" s="2">
        <v>0</v>
      </c>
      <c r="G103" s="2">
        <v>1</v>
      </c>
      <c r="H103" s="2">
        <v>0</v>
      </c>
      <c r="I103" s="2">
        <v>0</v>
      </c>
      <c r="J103" s="2">
        <v>1</v>
      </c>
      <c r="K103">
        <f>J103+L103</f>
        <v>1</v>
      </c>
      <c r="L103" s="2">
        <v>0</v>
      </c>
      <c r="M103" s="2">
        <v>0</v>
      </c>
      <c r="N103" s="2">
        <v>0</v>
      </c>
      <c r="O103" s="3">
        <f>N103/J103</f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3" t="e">
        <f>V103/S103</f>
        <v>#DIV/0!</v>
      </c>
      <c r="X103" s="3" t="e">
        <f>V103/U103</f>
        <v>#DIV/0!</v>
      </c>
      <c r="Y103" s="4" t="e">
        <f>S103*6/U103</f>
        <v>#DIV/0!</v>
      </c>
      <c r="Z103" s="2">
        <v>0</v>
      </c>
      <c r="AA103" s="2">
        <v>0</v>
      </c>
      <c r="AB103" s="2">
        <v>0</v>
      </c>
      <c r="AC103" s="2">
        <v>0</v>
      </c>
    </row>
    <row r="104" spans="1:29" x14ac:dyDescent="0.35">
      <c r="A104" s="1" t="s">
        <v>152</v>
      </c>
      <c r="B104" s="1" t="s">
        <v>77</v>
      </c>
      <c r="C104">
        <f>D104+E104+F104+G104+H104+I104</f>
        <v>13</v>
      </c>
      <c r="D104" s="2">
        <v>13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11</v>
      </c>
      <c r="K104">
        <f>J104+L104</f>
        <v>13</v>
      </c>
      <c r="L104" s="2">
        <v>2</v>
      </c>
      <c r="M104" s="2">
        <v>2</v>
      </c>
      <c r="N104" s="2">
        <v>234</v>
      </c>
      <c r="O104" s="3">
        <f>N104/J104</f>
        <v>21.272727272727273</v>
      </c>
      <c r="P104" s="2">
        <v>0</v>
      </c>
      <c r="Q104" s="2">
        <v>0</v>
      </c>
      <c r="R104" s="2">
        <v>43</v>
      </c>
      <c r="S104" s="2">
        <v>1</v>
      </c>
      <c r="T104" s="2">
        <v>0</v>
      </c>
      <c r="U104" s="2">
        <v>0</v>
      </c>
      <c r="V104" s="2">
        <v>4</v>
      </c>
      <c r="W104" s="3">
        <f>V104/S104</f>
        <v>4</v>
      </c>
      <c r="X104" s="3" t="e">
        <f>V104/U104</f>
        <v>#DIV/0!</v>
      </c>
      <c r="Y104" s="4" t="e">
        <f>S104*6/U104</f>
        <v>#DIV/0!</v>
      </c>
      <c r="Z104" s="2">
        <v>0</v>
      </c>
      <c r="AA104" s="2">
        <v>0</v>
      </c>
      <c r="AB104" s="2">
        <v>0</v>
      </c>
      <c r="AC104" s="2">
        <v>1</v>
      </c>
    </row>
    <row r="105" spans="1:29" x14ac:dyDescent="0.35">
      <c r="A105" s="1" t="s">
        <v>153</v>
      </c>
      <c r="B105" s="1" t="s">
        <v>154</v>
      </c>
      <c r="C105">
        <f>D105+E105+F105+G105+H105+I105</f>
        <v>1</v>
      </c>
      <c r="D105" s="2">
        <v>0</v>
      </c>
      <c r="E105" s="2">
        <v>1</v>
      </c>
      <c r="F105" s="2">
        <v>0</v>
      </c>
      <c r="G105" s="2">
        <v>0</v>
      </c>
      <c r="H105" s="2">
        <v>0</v>
      </c>
      <c r="I105" s="2">
        <v>0</v>
      </c>
      <c r="J105" s="2">
        <v>1</v>
      </c>
      <c r="K105">
        <f>J105+L105</f>
        <v>1</v>
      </c>
      <c r="L105" s="2">
        <v>0</v>
      </c>
      <c r="M105" s="2">
        <v>0</v>
      </c>
      <c r="N105" s="2">
        <v>2</v>
      </c>
      <c r="O105" s="3">
        <f>N105/J105</f>
        <v>2</v>
      </c>
      <c r="P105" s="2">
        <v>0</v>
      </c>
      <c r="Q105" s="2">
        <v>0</v>
      </c>
      <c r="R105" s="2">
        <v>2</v>
      </c>
      <c r="S105" s="2">
        <v>0</v>
      </c>
      <c r="T105" s="2">
        <v>0</v>
      </c>
      <c r="U105" s="2">
        <v>0</v>
      </c>
      <c r="V105" s="2">
        <v>0</v>
      </c>
      <c r="W105" s="3" t="e">
        <f>V105/S105</f>
        <v>#DIV/0!</v>
      </c>
      <c r="X105" s="3" t="e">
        <f>V105/U105</f>
        <v>#DIV/0!</v>
      </c>
      <c r="Y105" s="4" t="e">
        <f>S105*6/U105</f>
        <v>#DIV/0!</v>
      </c>
      <c r="Z105" s="2">
        <v>0</v>
      </c>
      <c r="AA105" s="2">
        <v>0</v>
      </c>
      <c r="AB105" s="2">
        <v>0</v>
      </c>
      <c r="AC105" s="2">
        <v>0</v>
      </c>
    </row>
    <row r="106" spans="1:29" x14ac:dyDescent="0.35">
      <c r="A106" s="1" t="s">
        <v>155</v>
      </c>
      <c r="B106" s="1" t="s">
        <v>156</v>
      </c>
      <c r="C106">
        <f>D106+E106+F106+G106+H106+I106</f>
        <v>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2</v>
      </c>
      <c r="J106" s="2">
        <v>1</v>
      </c>
      <c r="K106">
        <f>J106+L106</f>
        <v>1</v>
      </c>
      <c r="L106" s="2">
        <v>0</v>
      </c>
      <c r="M106" s="2">
        <v>1</v>
      </c>
      <c r="N106" s="2">
        <v>6</v>
      </c>
      <c r="O106" s="3">
        <f>N106/J106</f>
        <v>6</v>
      </c>
      <c r="P106" s="2">
        <v>0</v>
      </c>
      <c r="Q106" s="2">
        <v>0</v>
      </c>
      <c r="R106" s="2">
        <v>6</v>
      </c>
      <c r="S106" s="2">
        <v>5</v>
      </c>
      <c r="T106" s="2">
        <v>0</v>
      </c>
      <c r="U106" s="2">
        <v>1</v>
      </c>
      <c r="V106" s="2">
        <v>31</v>
      </c>
      <c r="W106" s="3">
        <f>V106/S106</f>
        <v>6.2</v>
      </c>
      <c r="X106" s="3">
        <f>V106/U106</f>
        <v>31</v>
      </c>
      <c r="Y106" s="4">
        <f>S106*6/U106</f>
        <v>30</v>
      </c>
      <c r="Z106" s="2">
        <v>1</v>
      </c>
      <c r="AA106" s="2">
        <v>0</v>
      </c>
      <c r="AB106" s="2">
        <v>0</v>
      </c>
      <c r="AC106" s="2">
        <v>0</v>
      </c>
    </row>
    <row r="107" spans="1:29" x14ac:dyDescent="0.35">
      <c r="A107" s="1" t="s">
        <v>157</v>
      </c>
      <c r="B107" s="1" t="s">
        <v>97</v>
      </c>
      <c r="C107">
        <f>D107+E107+F107+G107+H107+I107</f>
        <v>5</v>
      </c>
      <c r="D107" s="2">
        <v>0</v>
      </c>
      <c r="E107" s="2">
        <v>0</v>
      </c>
      <c r="F107" s="2">
        <v>0</v>
      </c>
      <c r="G107" s="2">
        <v>0</v>
      </c>
      <c r="H107" s="2">
        <v>5</v>
      </c>
      <c r="I107" s="2">
        <v>0</v>
      </c>
      <c r="J107" s="2">
        <v>2</v>
      </c>
      <c r="K107">
        <f>J107+L107</f>
        <v>4</v>
      </c>
      <c r="L107" s="2">
        <v>2</v>
      </c>
      <c r="M107" s="2">
        <v>0</v>
      </c>
      <c r="N107" s="2">
        <v>192</v>
      </c>
      <c r="O107" s="3">
        <f>N107/J107</f>
        <v>96</v>
      </c>
      <c r="P107" s="2">
        <v>0</v>
      </c>
      <c r="Q107" s="2">
        <v>1</v>
      </c>
      <c r="R107" s="2">
        <v>123</v>
      </c>
      <c r="S107" s="2">
        <v>0</v>
      </c>
      <c r="T107" s="2">
        <v>0</v>
      </c>
      <c r="U107" s="2">
        <v>0</v>
      </c>
      <c r="V107" s="2">
        <v>0</v>
      </c>
      <c r="W107" s="3" t="e">
        <f>V107/S107</f>
        <v>#DIV/0!</v>
      </c>
      <c r="X107" s="3" t="e">
        <f>V107/U107</f>
        <v>#DIV/0!</v>
      </c>
      <c r="Y107" s="4" t="e">
        <f>S107*6/U107</f>
        <v>#DIV/0!</v>
      </c>
      <c r="Z107" s="2">
        <v>0</v>
      </c>
      <c r="AA107" s="2">
        <v>0</v>
      </c>
      <c r="AB107" s="2">
        <v>0</v>
      </c>
      <c r="AC107" s="2">
        <v>2</v>
      </c>
    </row>
    <row r="108" spans="1:29" x14ac:dyDescent="0.35">
      <c r="A108" s="1" t="s">
        <v>158</v>
      </c>
      <c r="B108" s="1" t="s">
        <v>159</v>
      </c>
      <c r="C108">
        <f>D108+E108+F108+G108+H108+I108</f>
        <v>20</v>
      </c>
      <c r="D108" s="2">
        <v>0</v>
      </c>
      <c r="E108" s="2">
        <v>0</v>
      </c>
      <c r="F108" s="2">
        <v>9</v>
      </c>
      <c r="G108" s="2">
        <v>11</v>
      </c>
      <c r="H108" s="2">
        <v>0</v>
      </c>
      <c r="I108" s="2">
        <v>0</v>
      </c>
      <c r="J108" s="2">
        <v>19</v>
      </c>
      <c r="K108">
        <f>J108+L108</f>
        <v>20</v>
      </c>
      <c r="L108" s="2">
        <v>1</v>
      </c>
      <c r="M108" s="2">
        <v>0</v>
      </c>
      <c r="N108" s="2">
        <v>881</v>
      </c>
      <c r="O108" s="3">
        <f>N108/J108</f>
        <v>46.368421052631582</v>
      </c>
      <c r="P108" s="2">
        <v>5</v>
      </c>
      <c r="Q108" s="2">
        <v>1</v>
      </c>
      <c r="R108" s="2">
        <v>158</v>
      </c>
      <c r="S108" s="2">
        <v>33</v>
      </c>
      <c r="T108" s="2">
        <v>3</v>
      </c>
      <c r="U108" s="2">
        <v>4</v>
      </c>
      <c r="V108" s="2">
        <v>154</v>
      </c>
      <c r="W108" s="3">
        <f>V108/S108</f>
        <v>4.666666666666667</v>
      </c>
      <c r="X108" s="3">
        <f>V108/U108</f>
        <v>38.5</v>
      </c>
      <c r="Y108" s="4">
        <f>S108*6/U108</f>
        <v>49.5</v>
      </c>
      <c r="Z108" s="2">
        <v>2</v>
      </c>
      <c r="AA108" s="2">
        <v>0</v>
      </c>
      <c r="AB108" s="2">
        <v>0</v>
      </c>
      <c r="AC108" s="2">
        <v>8</v>
      </c>
    </row>
    <row r="109" spans="1:29" x14ac:dyDescent="0.35">
      <c r="A109" s="1" t="s">
        <v>160</v>
      </c>
      <c r="B109" s="1" t="s">
        <v>161</v>
      </c>
      <c r="C109">
        <f>D109+E109+F109+G109+H109+I109</f>
        <v>7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7</v>
      </c>
      <c r="J109" s="2">
        <v>3</v>
      </c>
      <c r="K109">
        <f>J109+L109</f>
        <v>4</v>
      </c>
      <c r="L109" s="2">
        <v>1</v>
      </c>
      <c r="M109" s="2">
        <v>3</v>
      </c>
      <c r="N109" s="2">
        <v>69</v>
      </c>
      <c r="O109" s="3">
        <f>N109/J109</f>
        <v>23</v>
      </c>
      <c r="P109" s="2">
        <v>0</v>
      </c>
      <c r="Q109" s="2">
        <v>0</v>
      </c>
      <c r="R109" s="2">
        <v>38</v>
      </c>
      <c r="S109" s="2">
        <v>30</v>
      </c>
      <c r="T109" s="2">
        <v>6</v>
      </c>
      <c r="U109" s="2">
        <v>5</v>
      </c>
      <c r="V109" s="2">
        <v>122</v>
      </c>
      <c r="W109" s="3">
        <f>V109/S109</f>
        <v>4.0666666666666664</v>
      </c>
      <c r="X109" s="3">
        <f>V109/U109</f>
        <v>24.4</v>
      </c>
      <c r="Y109" s="4">
        <f>S109*6/U109</f>
        <v>36</v>
      </c>
      <c r="Z109" s="2">
        <v>2</v>
      </c>
      <c r="AA109" s="2">
        <v>0</v>
      </c>
      <c r="AB109" s="2">
        <v>0</v>
      </c>
      <c r="AC109" s="2">
        <v>0</v>
      </c>
    </row>
    <row r="110" spans="1:29" x14ac:dyDescent="0.35">
      <c r="A110" s="37" t="s">
        <v>1282</v>
      </c>
      <c r="B110" s="37" t="s">
        <v>1283</v>
      </c>
      <c r="C110" s="18">
        <f>D110+E110+F110+G110+H110+I110</f>
        <v>51</v>
      </c>
      <c r="D110" s="21">
        <v>0</v>
      </c>
      <c r="E110" s="21">
        <v>0</v>
      </c>
      <c r="F110" s="21">
        <v>0</v>
      </c>
      <c r="G110" s="21">
        <v>18</v>
      </c>
      <c r="H110" s="21">
        <v>23</v>
      </c>
      <c r="I110" s="21">
        <v>10</v>
      </c>
      <c r="J110" s="21">
        <v>30</v>
      </c>
      <c r="K110" s="18">
        <f>J110+L110</f>
        <v>38</v>
      </c>
      <c r="L110" s="21">
        <v>8</v>
      </c>
      <c r="M110" s="21">
        <v>13</v>
      </c>
      <c r="N110" s="21">
        <f>187+89</f>
        <v>276</v>
      </c>
      <c r="O110" s="19">
        <f>N110/J110</f>
        <v>9.1999999999999993</v>
      </c>
      <c r="P110" s="21">
        <v>0</v>
      </c>
      <c r="Q110" s="21">
        <v>0</v>
      </c>
      <c r="R110" s="21">
        <v>36</v>
      </c>
      <c r="S110" s="37">
        <f>129.1+54.3</f>
        <v>183.39999999999998</v>
      </c>
      <c r="T110" s="37">
        <v>10</v>
      </c>
      <c r="U110" s="37">
        <v>28</v>
      </c>
      <c r="V110" s="37">
        <f>636+308</f>
        <v>944</v>
      </c>
      <c r="W110" s="19">
        <f>V110/S110</f>
        <v>5.1472191930207201</v>
      </c>
      <c r="X110" s="19">
        <f>V110/U110</f>
        <v>33.714285714285715</v>
      </c>
      <c r="Y110" s="19">
        <f>127/U110</f>
        <v>4.5357142857142856</v>
      </c>
      <c r="Z110" s="37" t="s">
        <v>1284</v>
      </c>
      <c r="AA110" s="37">
        <v>1</v>
      </c>
      <c r="AB110" s="21">
        <v>0</v>
      </c>
      <c r="AC110" s="46">
        <v>16</v>
      </c>
    </row>
    <row r="111" spans="1:29" x14ac:dyDescent="0.35">
      <c r="A111" s="35" t="s">
        <v>1282</v>
      </c>
      <c r="B111" s="35" t="s">
        <v>1292</v>
      </c>
      <c r="C111">
        <v>1</v>
      </c>
      <c r="D111" s="40">
        <v>0</v>
      </c>
      <c r="E111" s="40">
        <v>0</v>
      </c>
      <c r="F111" s="40">
        <v>0</v>
      </c>
      <c r="G111" s="40">
        <v>0</v>
      </c>
      <c r="H111" s="40">
        <v>0</v>
      </c>
      <c r="I111" s="40">
        <v>1</v>
      </c>
      <c r="J111" s="40">
        <v>1</v>
      </c>
      <c r="K111" s="6">
        <v>1</v>
      </c>
      <c r="L111" s="40">
        <v>0</v>
      </c>
      <c r="M111" s="40">
        <v>0</v>
      </c>
      <c r="N111" s="40">
        <v>0</v>
      </c>
      <c r="O111" s="3">
        <f>N111/J111</f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6">
        <v>0</v>
      </c>
      <c r="X111" s="6">
        <v>0</v>
      </c>
      <c r="Y111" s="6">
        <v>0</v>
      </c>
      <c r="Z111" s="40">
        <v>0</v>
      </c>
      <c r="AA111" s="40">
        <v>0</v>
      </c>
      <c r="AB111" s="40">
        <v>0</v>
      </c>
      <c r="AC111" s="40">
        <v>0</v>
      </c>
    </row>
    <row r="112" spans="1:29" x14ac:dyDescent="0.35">
      <c r="A112" s="1" t="s">
        <v>162</v>
      </c>
      <c r="B112" s="1" t="s">
        <v>163</v>
      </c>
      <c r="C112">
        <f>D112+E112+F112+G112+H112+I112</f>
        <v>134</v>
      </c>
      <c r="D112" s="2">
        <v>13</v>
      </c>
      <c r="E112" s="2">
        <v>115</v>
      </c>
      <c r="F112" s="2">
        <v>1</v>
      </c>
      <c r="G112" s="2">
        <v>1</v>
      </c>
      <c r="H112" s="2">
        <v>1</v>
      </c>
      <c r="I112" s="2">
        <v>3</v>
      </c>
      <c r="J112" s="2">
        <v>76</v>
      </c>
      <c r="K112">
        <f>J112+L112</f>
        <v>117</v>
      </c>
      <c r="L112" s="2">
        <v>41</v>
      </c>
      <c r="M112" s="2">
        <v>26</v>
      </c>
      <c r="N112" s="2">
        <v>1516</v>
      </c>
      <c r="O112" s="3">
        <f>N112/J112</f>
        <v>19.94736842105263</v>
      </c>
      <c r="P112" s="2">
        <v>1</v>
      </c>
      <c r="Q112" s="2">
        <v>1</v>
      </c>
      <c r="R112" s="2">
        <v>107</v>
      </c>
      <c r="S112" s="2">
        <v>1414</v>
      </c>
      <c r="T112" s="2">
        <v>293</v>
      </c>
      <c r="U112" s="2">
        <v>204</v>
      </c>
      <c r="V112" s="2">
        <v>4011</v>
      </c>
      <c r="W112" s="3">
        <f>V112/S112</f>
        <v>2.8366336633663365</v>
      </c>
      <c r="X112" s="3">
        <f>V112/U112</f>
        <v>19.661764705882351</v>
      </c>
      <c r="Y112" s="4">
        <f>S112*6/U112</f>
        <v>41.588235294117645</v>
      </c>
      <c r="Z112" s="2">
        <v>7</v>
      </c>
      <c r="AA112" s="2">
        <v>4</v>
      </c>
      <c r="AB112" s="2">
        <v>0</v>
      </c>
      <c r="AC112" s="2">
        <v>34</v>
      </c>
    </row>
    <row r="113" spans="1:29" x14ac:dyDescent="0.35">
      <c r="A113" s="1" t="s">
        <v>164</v>
      </c>
      <c r="B113" s="1" t="s">
        <v>165</v>
      </c>
      <c r="C113">
        <f>D113+E113+F113+G113+H113+I113</f>
        <v>1</v>
      </c>
      <c r="D113" s="2">
        <v>0</v>
      </c>
      <c r="E113" s="2">
        <v>0</v>
      </c>
      <c r="F113" s="2">
        <v>0</v>
      </c>
      <c r="G113" s="2">
        <v>1</v>
      </c>
      <c r="H113" s="2">
        <v>0</v>
      </c>
      <c r="I113" s="2">
        <v>0</v>
      </c>
      <c r="J113" s="2">
        <v>0</v>
      </c>
      <c r="K113">
        <f>J113+L113</f>
        <v>0</v>
      </c>
      <c r="L113" s="2">
        <v>0</v>
      </c>
      <c r="M113" s="2">
        <v>1</v>
      </c>
      <c r="N113" s="2">
        <v>0</v>
      </c>
      <c r="O113" s="3" t="e">
        <f>N113/J113</f>
        <v>#DIV/0!</v>
      </c>
      <c r="P113" s="2">
        <v>0</v>
      </c>
      <c r="Q113" s="2">
        <v>0</v>
      </c>
      <c r="R113" s="2">
        <v>0</v>
      </c>
      <c r="S113" s="2">
        <v>5</v>
      </c>
      <c r="T113" s="2">
        <v>0</v>
      </c>
      <c r="U113" s="2">
        <v>0</v>
      </c>
      <c r="V113" s="2">
        <v>34</v>
      </c>
      <c r="W113" s="3">
        <f>V113/S113</f>
        <v>6.8</v>
      </c>
      <c r="X113" s="3" t="e">
        <f>V113/U113</f>
        <v>#DIV/0!</v>
      </c>
      <c r="Y113" s="4" t="e">
        <f>S113*6/U113</f>
        <v>#DIV/0!</v>
      </c>
      <c r="Z113" s="2">
        <v>0</v>
      </c>
      <c r="AA113" s="2">
        <v>0</v>
      </c>
      <c r="AB113" s="2">
        <v>0</v>
      </c>
      <c r="AC113" s="2">
        <v>0</v>
      </c>
    </row>
    <row r="114" spans="1:29" x14ac:dyDescent="0.35">
      <c r="A114" s="1" t="s">
        <v>166</v>
      </c>
      <c r="B114" s="1" t="s">
        <v>165</v>
      </c>
      <c r="C114">
        <f>D114+E114+F114+G114+H114+I114</f>
        <v>136</v>
      </c>
      <c r="D114" s="2">
        <v>134</v>
      </c>
      <c r="E114" s="2">
        <v>0</v>
      </c>
      <c r="F114" s="2">
        <v>1</v>
      </c>
      <c r="G114" s="2">
        <v>1</v>
      </c>
      <c r="H114" s="2">
        <v>0</v>
      </c>
      <c r="I114" s="2">
        <v>0</v>
      </c>
      <c r="J114" s="2">
        <v>89</v>
      </c>
      <c r="K114">
        <f>J114+L114</f>
        <v>106</v>
      </c>
      <c r="L114" s="2">
        <v>17</v>
      </c>
      <c r="M114" s="2">
        <v>25</v>
      </c>
      <c r="N114" s="2">
        <v>2468</v>
      </c>
      <c r="O114" s="3">
        <f>N114/J114</f>
        <v>27.730337078651687</v>
      </c>
      <c r="P114" s="2">
        <v>8</v>
      </c>
      <c r="Q114" s="2">
        <v>2</v>
      </c>
      <c r="R114" s="2">
        <v>166</v>
      </c>
      <c r="S114" s="2">
        <v>1702</v>
      </c>
      <c r="T114" s="2">
        <v>457</v>
      </c>
      <c r="U114" s="2">
        <v>290</v>
      </c>
      <c r="V114" s="2">
        <v>4167</v>
      </c>
      <c r="W114" s="3">
        <f>V114/S114</f>
        <v>2.4482961222091655</v>
      </c>
      <c r="X114" s="3">
        <f>V114/U114</f>
        <v>14.36896551724138</v>
      </c>
      <c r="Y114" s="4">
        <f>S114*6/U114</f>
        <v>35.213793103448275</v>
      </c>
      <c r="Z114" s="2">
        <v>8</v>
      </c>
      <c r="AA114" s="2">
        <v>12</v>
      </c>
      <c r="AB114" s="2">
        <v>1</v>
      </c>
      <c r="AC114" s="2">
        <v>36</v>
      </c>
    </row>
    <row r="115" spans="1:29" x14ac:dyDescent="0.35">
      <c r="A115" s="1" t="s">
        <v>167</v>
      </c>
      <c r="B115" s="1" t="s">
        <v>24</v>
      </c>
      <c r="C115">
        <f>D115+E115+F115+G115+H115+I115</f>
        <v>1</v>
      </c>
      <c r="D115" s="2">
        <v>0</v>
      </c>
      <c r="E115" s="2">
        <v>0</v>
      </c>
      <c r="F115" s="2">
        <v>0</v>
      </c>
      <c r="G115" s="2">
        <v>1</v>
      </c>
      <c r="H115" s="2">
        <v>0</v>
      </c>
      <c r="I115" s="2">
        <v>0</v>
      </c>
      <c r="J115" s="2">
        <v>0</v>
      </c>
      <c r="K115">
        <f>J115+L115</f>
        <v>0</v>
      </c>
      <c r="L115" s="2">
        <v>0</v>
      </c>
      <c r="M115" s="2">
        <v>1</v>
      </c>
      <c r="N115" s="2">
        <v>0</v>
      </c>
      <c r="O115" s="3" t="e">
        <f>N115/J115</f>
        <v>#DIV/0!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3" t="e">
        <f>V115/S115</f>
        <v>#DIV/0!</v>
      </c>
      <c r="X115" s="3" t="e">
        <f>V115/U115</f>
        <v>#DIV/0!</v>
      </c>
      <c r="Y115" s="4" t="e">
        <f>S115*6/U115</f>
        <v>#DIV/0!</v>
      </c>
      <c r="Z115" s="2">
        <v>0</v>
      </c>
      <c r="AA115" s="2">
        <v>0</v>
      </c>
      <c r="AB115" s="2">
        <v>0</v>
      </c>
      <c r="AC115" s="2">
        <v>0</v>
      </c>
    </row>
    <row r="116" spans="1:29" x14ac:dyDescent="0.35">
      <c r="A116" s="1" t="s">
        <v>168</v>
      </c>
      <c r="B116" s="1" t="s">
        <v>169</v>
      </c>
      <c r="C116">
        <f>D116+E116+F116+G116+H116+I116</f>
        <v>1</v>
      </c>
      <c r="D116" s="2">
        <v>0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>
        <f>J116+L116</f>
        <v>1</v>
      </c>
      <c r="L116" s="2">
        <v>0</v>
      </c>
      <c r="M116" s="2">
        <v>1</v>
      </c>
      <c r="N116" s="2">
        <v>8</v>
      </c>
      <c r="O116" s="3">
        <f>N116/J116</f>
        <v>8</v>
      </c>
      <c r="P116" s="2">
        <v>0</v>
      </c>
      <c r="Q116" s="2">
        <v>0</v>
      </c>
      <c r="R116" s="2">
        <v>8</v>
      </c>
      <c r="S116" s="2">
        <v>5</v>
      </c>
      <c r="T116" s="2">
        <v>1</v>
      </c>
      <c r="U116" s="2">
        <v>1</v>
      </c>
      <c r="V116" s="2">
        <v>8</v>
      </c>
      <c r="W116" s="3">
        <f>V116/S116</f>
        <v>1.6</v>
      </c>
      <c r="X116" s="3">
        <f>V116/U116</f>
        <v>8</v>
      </c>
      <c r="Y116" s="4">
        <f>S116*6/U116</f>
        <v>30</v>
      </c>
      <c r="Z116" s="2">
        <v>1</v>
      </c>
      <c r="AA116" s="2">
        <v>0</v>
      </c>
      <c r="AB116" s="2">
        <v>0</v>
      </c>
      <c r="AC116" s="2">
        <v>0</v>
      </c>
    </row>
    <row r="117" spans="1:29" x14ac:dyDescent="0.35">
      <c r="A117" s="1" t="s">
        <v>170</v>
      </c>
      <c r="B117" s="1" t="s">
        <v>172</v>
      </c>
      <c r="C117">
        <f>D117+E117+F117+G117+H117+I117</f>
        <v>13</v>
      </c>
      <c r="D117" s="2">
        <v>0</v>
      </c>
      <c r="E117" s="2">
        <v>0</v>
      </c>
      <c r="F117" s="2">
        <v>10</v>
      </c>
      <c r="G117" s="2">
        <v>2</v>
      </c>
      <c r="H117" s="2">
        <v>1</v>
      </c>
      <c r="I117" s="2">
        <v>0</v>
      </c>
      <c r="J117" s="2">
        <v>15</v>
      </c>
      <c r="K117">
        <f>J117+L117</f>
        <v>17</v>
      </c>
      <c r="L117" s="2">
        <v>2</v>
      </c>
      <c r="M117" s="2">
        <v>3</v>
      </c>
      <c r="N117" s="2">
        <v>256</v>
      </c>
      <c r="O117" s="3">
        <f>N117/J117</f>
        <v>17.066666666666666</v>
      </c>
      <c r="P117" s="2">
        <v>0</v>
      </c>
      <c r="Q117" s="2">
        <v>0</v>
      </c>
      <c r="R117" s="2">
        <v>39</v>
      </c>
      <c r="S117" s="2">
        <v>33</v>
      </c>
      <c r="T117" s="2">
        <v>2</v>
      </c>
      <c r="U117" s="2">
        <v>8</v>
      </c>
      <c r="V117" s="2">
        <v>130</v>
      </c>
      <c r="W117" s="3">
        <f>V117/S117</f>
        <v>3.9393939393939394</v>
      </c>
      <c r="X117" s="3">
        <f>V117/U117</f>
        <v>16.25</v>
      </c>
      <c r="Y117" s="4">
        <f>S117*6/U117</f>
        <v>24.75</v>
      </c>
      <c r="Z117" s="2">
        <v>2</v>
      </c>
      <c r="AA117" s="2">
        <v>0</v>
      </c>
      <c r="AB117" s="2">
        <v>0</v>
      </c>
      <c r="AC117" s="2">
        <v>2</v>
      </c>
    </row>
    <row r="118" spans="1:29" x14ac:dyDescent="0.35">
      <c r="A118" s="1" t="s">
        <v>170</v>
      </c>
      <c r="B118" s="1" t="s">
        <v>171</v>
      </c>
      <c r="C118">
        <f>D118+E118+F118+G118+H118+I118</f>
        <v>26</v>
      </c>
      <c r="D118" s="2">
        <v>0</v>
      </c>
      <c r="E118" s="2">
        <v>0</v>
      </c>
      <c r="F118" s="2">
        <v>1</v>
      </c>
      <c r="G118" s="2">
        <v>1</v>
      </c>
      <c r="H118" s="2">
        <v>20</v>
      </c>
      <c r="I118" s="2">
        <v>4</v>
      </c>
      <c r="J118" s="2">
        <v>16</v>
      </c>
      <c r="K118">
        <f>J118+L118</f>
        <v>24</v>
      </c>
      <c r="L118" s="2">
        <v>8</v>
      </c>
      <c r="M118" s="2">
        <v>6</v>
      </c>
      <c r="N118" s="2">
        <v>181</v>
      </c>
      <c r="O118" s="3">
        <f>N118/J118</f>
        <v>11.3125</v>
      </c>
      <c r="P118" s="2">
        <v>0</v>
      </c>
      <c r="Q118" s="2">
        <v>0</v>
      </c>
      <c r="R118" s="2">
        <v>30</v>
      </c>
      <c r="S118" s="2">
        <v>8</v>
      </c>
      <c r="T118" s="2">
        <v>0</v>
      </c>
      <c r="U118" s="2">
        <v>0</v>
      </c>
      <c r="V118" s="2">
        <v>33</v>
      </c>
      <c r="W118" s="3">
        <f>V118/S118</f>
        <v>4.125</v>
      </c>
      <c r="X118" s="3" t="e">
        <f>V118/U118</f>
        <v>#DIV/0!</v>
      </c>
      <c r="Y118" s="4" t="e">
        <f>S118*6/U118</f>
        <v>#DIV/0!</v>
      </c>
      <c r="Z118" s="2">
        <v>0</v>
      </c>
      <c r="AA118" s="2">
        <v>0</v>
      </c>
      <c r="AB118" s="2">
        <v>0</v>
      </c>
      <c r="AC118" s="2">
        <v>2</v>
      </c>
    </row>
    <row r="119" spans="1:29" x14ac:dyDescent="0.35">
      <c r="A119" s="37" t="s">
        <v>173</v>
      </c>
      <c r="B119" s="37" t="s">
        <v>222</v>
      </c>
      <c r="C119" s="18">
        <f>D119+E119+F119+G119+H119+I119</f>
        <v>14</v>
      </c>
      <c r="D119" s="21">
        <v>14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37">
        <v>12</v>
      </c>
      <c r="K119" s="18">
        <f>J119+L119</f>
        <v>13</v>
      </c>
      <c r="L119" s="37">
        <v>1</v>
      </c>
      <c r="M119" s="37">
        <v>1</v>
      </c>
      <c r="N119" s="37">
        <v>408</v>
      </c>
      <c r="O119" s="19">
        <f>N119/J119</f>
        <v>34</v>
      </c>
      <c r="P119" s="37">
        <v>3</v>
      </c>
      <c r="Q119" s="37">
        <v>0</v>
      </c>
      <c r="R119" s="37">
        <v>71</v>
      </c>
      <c r="S119" s="37">
        <v>0</v>
      </c>
      <c r="T119" s="37">
        <v>0</v>
      </c>
      <c r="U119" s="37">
        <v>0</v>
      </c>
      <c r="V119" s="37">
        <v>0</v>
      </c>
      <c r="W119" s="18" t="e">
        <f>V119/S119</f>
        <v>#DIV/0!</v>
      </c>
      <c r="X119" s="18" t="e">
        <f>V119/U119</f>
        <v>#DIV/0!</v>
      </c>
      <c r="Y119" s="18" t="e">
        <f>S119*6/U119</f>
        <v>#DIV/0!</v>
      </c>
      <c r="Z119" s="37">
        <v>0</v>
      </c>
      <c r="AA119" s="37">
        <v>0</v>
      </c>
      <c r="AB119" s="37">
        <v>0</v>
      </c>
      <c r="AC119" s="37">
        <v>15</v>
      </c>
    </row>
    <row r="120" spans="1:29" x14ac:dyDescent="0.35">
      <c r="A120" s="1" t="s">
        <v>173</v>
      </c>
      <c r="B120" s="1" t="s">
        <v>176</v>
      </c>
      <c r="C120">
        <f>D120+E120+F120+G120+H120+I120</f>
        <v>41</v>
      </c>
      <c r="D120" s="2">
        <v>35</v>
      </c>
      <c r="E120" s="2">
        <v>5</v>
      </c>
      <c r="F120" s="2">
        <v>1</v>
      </c>
      <c r="G120" s="2">
        <v>0</v>
      </c>
      <c r="H120" s="2">
        <v>0</v>
      </c>
      <c r="I120" s="2">
        <v>0</v>
      </c>
      <c r="J120" s="2">
        <v>36</v>
      </c>
      <c r="K120">
        <f>J120+L120</f>
        <v>41</v>
      </c>
      <c r="L120" s="2">
        <v>5</v>
      </c>
      <c r="M120" s="2">
        <v>3</v>
      </c>
      <c r="N120" s="2">
        <v>888</v>
      </c>
      <c r="O120" s="3">
        <f>N120/J120</f>
        <v>24.666666666666668</v>
      </c>
      <c r="P120" s="2">
        <v>4</v>
      </c>
      <c r="Q120" s="2">
        <v>1</v>
      </c>
      <c r="R120" s="2">
        <v>100</v>
      </c>
      <c r="S120" s="2">
        <v>318</v>
      </c>
      <c r="T120" s="2">
        <v>83</v>
      </c>
      <c r="U120" s="2">
        <v>50</v>
      </c>
      <c r="V120" s="2">
        <v>815</v>
      </c>
      <c r="W120" s="3">
        <f>V120/S120</f>
        <v>2.5628930817610063</v>
      </c>
      <c r="X120" s="3">
        <f>V120/U120</f>
        <v>16.3</v>
      </c>
      <c r="Y120" s="4">
        <f>S120*6/U120</f>
        <v>38.159999999999997</v>
      </c>
      <c r="Z120" s="2">
        <v>5</v>
      </c>
      <c r="AA120" s="2">
        <v>1</v>
      </c>
      <c r="AB120" s="2">
        <v>0</v>
      </c>
      <c r="AC120" s="2">
        <v>11</v>
      </c>
    </row>
    <row r="121" spans="1:29" x14ac:dyDescent="0.35">
      <c r="A121" s="7" t="s">
        <v>173</v>
      </c>
      <c r="B121" s="7" t="s">
        <v>124</v>
      </c>
      <c r="C121">
        <f>D121+E121+F121+G121+H121+I121</f>
        <v>21</v>
      </c>
      <c r="D121" s="5">
        <v>0</v>
      </c>
      <c r="E121" s="5">
        <v>0</v>
      </c>
      <c r="F121" s="5">
        <v>0</v>
      </c>
      <c r="G121" s="5">
        <v>0</v>
      </c>
      <c r="H121" s="5">
        <v>21</v>
      </c>
      <c r="I121" s="5">
        <v>0</v>
      </c>
      <c r="J121" s="5">
        <v>7</v>
      </c>
      <c r="K121">
        <f>J121+L121</f>
        <v>11</v>
      </c>
      <c r="L121" s="5">
        <v>4</v>
      </c>
      <c r="M121" s="5">
        <v>10</v>
      </c>
      <c r="N121" s="5">
        <v>80</v>
      </c>
      <c r="O121" s="3">
        <f>N121/J121</f>
        <v>11.428571428571429</v>
      </c>
      <c r="P121" s="5">
        <v>0</v>
      </c>
      <c r="Q121" s="5">
        <v>0</v>
      </c>
      <c r="R121" s="5">
        <v>23</v>
      </c>
      <c r="S121" s="5">
        <v>72</v>
      </c>
      <c r="T121" s="5">
        <v>5</v>
      </c>
      <c r="U121" s="5">
        <v>19</v>
      </c>
      <c r="V121" s="5">
        <v>341</v>
      </c>
      <c r="W121" s="3">
        <f>V121/S121</f>
        <v>4.7361111111111107</v>
      </c>
      <c r="X121" s="3">
        <f>V121/U121</f>
        <v>17.94736842105263</v>
      </c>
      <c r="Y121" s="4">
        <f>S121*6/U121</f>
        <v>22.736842105263158</v>
      </c>
      <c r="Z121" s="5">
        <v>4</v>
      </c>
      <c r="AA121" s="5">
        <v>0</v>
      </c>
      <c r="AB121" s="5">
        <v>0</v>
      </c>
      <c r="AC121" s="5">
        <v>3</v>
      </c>
    </row>
    <row r="122" spans="1:29" x14ac:dyDescent="0.35">
      <c r="A122" s="1" t="s">
        <v>173</v>
      </c>
      <c r="B122" s="1" t="s">
        <v>175</v>
      </c>
      <c r="C122">
        <f>D122+E122+F122+G122+H122+I122</f>
        <v>2</v>
      </c>
      <c r="D122" s="2">
        <v>0</v>
      </c>
      <c r="E122" s="2">
        <v>1</v>
      </c>
      <c r="F122" s="2">
        <v>1</v>
      </c>
      <c r="G122" s="2">
        <v>0</v>
      </c>
      <c r="H122" s="2">
        <v>0</v>
      </c>
      <c r="I122" s="2">
        <v>0</v>
      </c>
      <c r="J122" s="2">
        <v>2</v>
      </c>
      <c r="K122">
        <f>J122+L122</f>
        <v>2</v>
      </c>
      <c r="L122" s="2">
        <v>0</v>
      </c>
      <c r="M122" s="2">
        <v>1</v>
      </c>
      <c r="N122" s="2">
        <v>3</v>
      </c>
      <c r="O122" s="3">
        <f>N122/J122</f>
        <v>1.5</v>
      </c>
      <c r="P122" s="2">
        <v>0</v>
      </c>
      <c r="Q122" s="2">
        <v>0</v>
      </c>
      <c r="R122" s="2">
        <v>2</v>
      </c>
      <c r="S122" s="2">
        <v>7</v>
      </c>
      <c r="T122" s="2">
        <v>1</v>
      </c>
      <c r="U122" s="2">
        <v>0</v>
      </c>
      <c r="V122" s="2">
        <v>34</v>
      </c>
      <c r="W122" s="3">
        <f>V122/S122</f>
        <v>4.8571428571428568</v>
      </c>
      <c r="X122" s="3" t="e">
        <f>V122/U122</f>
        <v>#DIV/0!</v>
      </c>
      <c r="Y122" s="4" t="e">
        <f>S122*6/U122</f>
        <v>#DIV/0!</v>
      </c>
      <c r="Z122" s="2">
        <v>0</v>
      </c>
      <c r="AA122" s="2">
        <v>0</v>
      </c>
      <c r="AB122" s="2">
        <v>0</v>
      </c>
      <c r="AC122" s="2">
        <v>1</v>
      </c>
    </row>
    <row r="123" spans="1:29" x14ac:dyDescent="0.35">
      <c r="A123" s="1" t="s">
        <v>173</v>
      </c>
      <c r="B123" s="1" t="s">
        <v>174</v>
      </c>
      <c r="C123">
        <f>D123+E123+F123+G123+H123+I123</f>
        <v>2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2</v>
      </c>
      <c r="J123" s="2">
        <v>2</v>
      </c>
      <c r="K123">
        <f>J123+L123</f>
        <v>2</v>
      </c>
      <c r="L123" s="2">
        <v>0</v>
      </c>
      <c r="M123" s="2">
        <v>0</v>
      </c>
      <c r="N123" s="2">
        <v>29</v>
      </c>
      <c r="O123" s="3">
        <f>N123/J123</f>
        <v>14.5</v>
      </c>
      <c r="P123" s="2">
        <v>0</v>
      </c>
      <c r="Q123" s="2">
        <v>0</v>
      </c>
      <c r="R123" s="2">
        <v>15</v>
      </c>
      <c r="S123" s="2">
        <v>4</v>
      </c>
      <c r="T123" s="2">
        <v>2</v>
      </c>
      <c r="U123" s="2">
        <v>0</v>
      </c>
      <c r="V123" s="2">
        <v>11</v>
      </c>
      <c r="W123" s="3">
        <f>V123/S123</f>
        <v>2.75</v>
      </c>
      <c r="X123" s="3" t="e">
        <f>V123/U123</f>
        <v>#DIV/0!</v>
      </c>
      <c r="Y123" s="4" t="e">
        <f>S123*6/U123</f>
        <v>#DIV/0!</v>
      </c>
      <c r="Z123" s="2">
        <v>0</v>
      </c>
      <c r="AA123" s="2">
        <v>0</v>
      </c>
      <c r="AB123" s="2">
        <v>0</v>
      </c>
      <c r="AC123" s="2">
        <v>0</v>
      </c>
    </row>
    <row r="124" spans="1:29" x14ac:dyDescent="0.35">
      <c r="A124" s="1" t="s">
        <v>173</v>
      </c>
      <c r="B124" s="1" t="s">
        <v>1270</v>
      </c>
      <c r="C124">
        <f>D124+E124+F124+G124+H124+I124</f>
        <v>2</v>
      </c>
      <c r="D124" s="2">
        <v>0</v>
      </c>
      <c r="E124" s="2">
        <v>1</v>
      </c>
      <c r="F124" s="2">
        <v>0</v>
      </c>
      <c r="G124" s="2">
        <v>0</v>
      </c>
      <c r="H124" s="2">
        <v>1</v>
      </c>
      <c r="I124" s="2">
        <v>0</v>
      </c>
      <c r="J124" s="2">
        <v>1</v>
      </c>
      <c r="K124">
        <f>J124+L124</f>
        <v>1</v>
      </c>
      <c r="L124" s="2">
        <v>0</v>
      </c>
      <c r="M124" s="2">
        <v>0</v>
      </c>
      <c r="N124" s="2">
        <v>24</v>
      </c>
      <c r="O124" s="3">
        <f>N124/J124</f>
        <v>24</v>
      </c>
      <c r="P124" s="2">
        <v>0</v>
      </c>
      <c r="Q124" s="2">
        <v>0</v>
      </c>
      <c r="R124" s="2">
        <v>24</v>
      </c>
      <c r="S124" s="2">
        <v>0</v>
      </c>
      <c r="T124" s="2">
        <v>0</v>
      </c>
      <c r="U124" s="2">
        <v>0</v>
      </c>
      <c r="V124" s="2">
        <v>0</v>
      </c>
      <c r="W124" s="3">
        <v>0</v>
      </c>
      <c r="X124" s="3" t="e">
        <f>V124/U124</f>
        <v>#DIV/0!</v>
      </c>
      <c r="Y124" s="4" t="e">
        <f>S124*6/U124</f>
        <v>#DIV/0!</v>
      </c>
      <c r="Z124" s="2">
        <v>0</v>
      </c>
      <c r="AA124" s="2">
        <v>0</v>
      </c>
      <c r="AB124" s="2">
        <v>0</v>
      </c>
      <c r="AC124" s="2">
        <v>0</v>
      </c>
    </row>
    <row r="125" spans="1:29" x14ac:dyDescent="0.35">
      <c r="A125" s="1" t="s">
        <v>177</v>
      </c>
      <c r="B125" s="1" t="s">
        <v>178</v>
      </c>
      <c r="C125">
        <f>D125+E125+F125+G125+H125+I125</f>
        <v>6</v>
      </c>
      <c r="D125" s="2">
        <v>0</v>
      </c>
      <c r="E125" s="2">
        <v>0</v>
      </c>
      <c r="F125" s="2">
        <v>0</v>
      </c>
      <c r="G125" s="2">
        <v>4</v>
      </c>
      <c r="H125" s="2">
        <v>1</v>
      </c>
      <c r="I125" s="2">
        <v>1</v>
      </c>
      <c r="J125" s="2">
        <v>4</v>
      </c>
      <c r="K125">
        <f>J125+L125</f>
        <v>4</v>
      </c>
      <c r="L125" s="2">
        <v>0</v>
      </c>
      <c r="M125" s="2">
        <v>2</v>
      </c>
      <c r="N125" s="2">
        <v>32</v>
      </c>
      <c r="O125" s="3">
        <f>N125/J125</f>
        <v>8</v>
      </c>
      <c r="P125" s="2">
        <v>0</v>
      </c>
      <c r="Q125" s="2">
        <v>0</v>
      </c>
      <c r="R125" s="2">
        <v>20</v>
      </c>
      <c r="S125" s="2">
        <v>1</v>
      </c>
      <c r="T125" s="2">
        <v>0</v>
      </c>
      <c r="U125" s="2">
        <v>0</v>
      </c>
      <c r="V125" s="2">
        <v>2</v>
      </c>
      <c r="W125" s="3">
        <f>V125/S125</f>
        <v>2</v>
      </c>
      <c r="X125" s="3" t="e">
        <f>V125/U125</f>
        <v>#DIV/0!</v>
      </c>
      <c r="Y125" s="4" t="e">
        <f>S125*6/U125</f>
        <v>#DIV/0!</v>
      </c>
      <c r="Z125" s="2">
        <v>0</v>
      </c>
      <c r="AA125" s="2">
        <v>0</v>
      </c>
      <c r="AB125" s="2">
        <v>0</v>
      </c>
      <c r="AC125" s="2">
        <v>1</v>
      </c>
    </row>
    <row r="126" spans="1:29" x14ac:dyDescent="0.35">
      <c r="A126" s="1" t="s">
        <v>179</v>
      </c>
      <c r="B126" s="1" t="s">
        <v>180</v>
      </c>
      <c r="C126">
        <f>D126+E126+F126+G126+H126+I126</f>
        <v>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13</v>
      </c>
      <c r="J126" s="2">
        <v>12</v>
      </c>
      <c r="K126">
        <f>J126+L126</f>
        <v>14</v>
      </c>
      <c r="L126" s="2">
        <v>2</v>
      </c>
      <c r="M126" s="2">
        <v>1</v>
      </c>
      <c r="N126" s="2">
        <v>194</v>
      </c>
      <c r="O126" s="3">
        <f>N126/J126</f>
        <v>16.166666666666668</v>
      </c>
      <c r="P126" s="2">
        <v>0</v>
      </c>
      <c r="Q126" s="2">
        <v>0</v>
      </c>
      <c r="R126" s="2">
        <v>48</v>
      </c>
      <c r="S126" s="2">
        <v>127</v>
      </c>
      <c r="T126" s="2">
        <v>19</v>
      </c>
      <c r="U126" s="2">
        <v>20</v>
      </c>
      <c r="V126" s="2">
        <v>382</v>
      </c>
      <c r="W126" s="3">
        <f>V126/S126</f>
        <v>3.0078740157480315</v>
      </c>
      <c r="X126" s="3">
        <f>V126/U126</f>
        <v>19.100000000000001</v>
      </c>
      <c r="Y126" s="4">
        <f>S126*6/U126</f>
        <v>38.1</v>
      </c>
      <c r="Z126" s="2">
        <v>3</v>
      </c>
      <c r="AA126" s="2">
        <v>0</v>
      </c>
      <c r="AB126" s="2">
        <v>0</v>
      </c>
      <c r="AC126" s="2">
        <v>0</v>
      </c>
    </row>
    <row r="127" spans="1:29" x14ac:dyDescent="0.35">
      <c r="A127" s="1" t="s">
        <v>181</v>
      </c>
      <c r="B127" s="1" t="s">
        <v>16</v>
      </c>
      <c r="C127">
        <f>D127+E127+F127+G127+H127+I127</f>
        <v>16</v>
      </c>
      <c r="D127" s="2">
        <v>9</v>
      </c>
      <c r="E127" s="2">
        <v>7</v>
      </c>
      <c r="F127" s="2">
        <v>0</v>
      </c>
      <c r="G127" s="2">
        <v>0</v>
      </c>
      <c r="H127" s="2">
        <v>0</v>
      </c>
      <c r="I127" s="2">
        <v>0</v>
      </c>
      <c r="J127" s="2">
        <v>14</v>
      </c>
      <c r="K127">
        <f>J127+L127</f>
        <v>14</v>
      </c>
      <c r="L127" s="2">
        <v>0</v>
      </c>
      <c r="M127" s="2">
        <v>2</v>
      </c>
      <c r="N127" s="2">
        <v>196</v>
      </c>
      <c r="O127" s="3">
        <f>N127/J127</f>
        <v>14</v>
      </c>
      <c r="P127" s="2">
        <v>0</v>
      </c>
      <c r="Q127" s="2">
        <v>0</v>
      </c>
      <c r="R127" s="2">
        <v>47</v>
      </c>
      <c r="S127" s="2">
        <v>97</v>
      </c>
      <c r="T127" s="2">
        <v>18</v>
      </c>
      <c r="U127" s="2">
        <v>10</v>
      </c>
      <c r="V127" s="2">
        <v>304</v>
      </c>
      <c r="W127" s="3">
        <f>V127/S127</f>
        <v>3.134020618556701</v>
      </c>
      <c r="X127" s="3">
        <f>V127/U127</f>
        <v>30.4</v>
      </c>
      <c r="Y127" s="4">
        <f>S127*6/U127</f>
        <v>58.2</v>
      </c>
      <c r="Z127" s="2">
        <v>3</v>
      </c>
      <c r="AA127" s="2">
        <v>0</v>
      </c>
      <c r="AB127" s="2">
        <v>0</v>
      </c>
      <c r="AC127" s="2">
        <v>2</v>
      </c>
    </row>
    <row r="128" spans="1:29" x14ac:dyDescent="0.35">
      <c r="A128" s="1" t="s">
        <v>181</v>
      </c>
      <c r="B128" s="1" t="s">
        <v>183</v>
      </c>
      <c r="C128">
        <f>D128+E128+F128+G128+H128+I128</f>
        <v>3</v>
      </c>
      <c r="D128" s="2">
        <v>0</v>
      </c>
      <c r="E128" s="2">
        <v>2</v>
      </c>
      <c r="F128" s="2">
        <v>1</v>
      </c>
      <c r="G128" s="2">
        <v>0</v>
      </c>
      <c r="H128" s="2">
        <v>0</v>
      </c>
      <c r="I128" s="2">
        <v>0</v>
      </c>
      <c r="J128" s="2">
        <v>1</v>
      </c>
      <c r="K128">
        <f>J128+L128</f>
        <v>2</v>
      </c>
      <c r="L128" s="2">
        <v>1</v>
      </c>
      <c r="M128" s="2">
        <v>1</v>
      </c>
      <c r="N128" s="2">
        <v>3</v>
      </c>
      <c r="O128" s="3">
        <f>N128/J128</f>
        <v>3</v>
      </c>
      <c r="P128" s="2">
        <v>0</v>
      </c>
      <c r="Q128" s="2">
        <v>0</v>
      </c>
      <c r="R128" s="2">
        <v>3</v>
      </c>
      <c r="S128" s="2">
        <v>23</v>
      </c>
      <c r="T128" s="2">
        <v>2</v>
      </c>
      <c r="U128" s="2">
        <v>2</v>
      </c>
      <c r="V128" s="2">
        <v>82</v>
      </c>
      <c r="W128" s="3">
        <f>V128/S128</f>
        <v>3.5652173913043477</v>
      </c>
      <c r="X128" s="3">
        <f>V128/U128</f>
        <v>41</v>
      </c>
      <c r="Y128" s="4">
        <f>S128*6/U128</f>
        <v>69</v>
      </c>
      <c r="Z128" s="2">
        <v>1</v>
      </c>
      <c r="AA128" s="2">
        <v>0</v>
      </c>
      <c r="AB128" s="2">
        <v>0</v>
      </c>
      <c r="AC128" s="2">
        <v>2</v>
      </c>
    </row>
    <row r="129" spans="1:29" x14ac:dyDescent="0.35">
      <c r="A129" s="1" t="s">
        <v>181</v>
      </c>
      <c r="B129" s="1" t="s">
        <v>182</v>
      </c>
      <c r="C129">
        <f>D129+E129+F129+G129+H129+I129</f>
        <v>2</v>
      </c>
      <c r="D129" s="2">
        <v>0</v>
      </c>
      <c r="E129" s="2">
        <v>1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>
        <f>J129+L129</f>
        <v>1</v>
      </c>
      <c r="L129" s="2">
        <v>1</v>
      </c>
      <c r="M129" s="2">
        <v>1</v>
      </c>
      <c r="N129" s="2">
        <v>0</v>
      </c>
      <c r="O129" s="3" t="e">
        <f>N129/J129</f>
        <v>#DIV/0!</v>
      </c>
      <c r="P129" s="2">
        <v>0</v>
      </c>
      <c r="Q129" s="2">
        <v>0</v>
      </c>
      <c r="R129" s="2">
        <v>0</v>
      </c>
      <c r="S129" s="2">
        <v>18</v>
      </c>
      <c r="T129" s="2">
        <v>6</v>
      </c>
      <c r="U129" s="2">
        <v>2</v>
      </c>
      <c r="V129" s="2">
        <v>46</v>
      </c>
      <c r="W129" s="3">
        <f>V129/S129</f>
        <v>2.5555555555555554</v>
      </c>
      <c r="X129" s="3">
        <f>V129/U129</f>
        <v>23</v>
      </c>
      <c r="Y129" s="4">
        <f>S129*6/U129</f>
        <v>54</v>
      </c>
      <c r="Z129" s="2">
        <v>1</v>
      </c>
      <c r="AA129" s="2">
        <v>0</v>
      </c>
      <c r="AB129" s="2">
        <v>0</v>
      </c>
      <c r="AC129" s="2">
        <v>1</v>
      </c>
    </row>
    <row r="130" spans="1:29" x14ac:dyDescent="0.35">
      <c r="A130" s="1" t="s">
        <v>184</v>
      </c>
      <c r="B130" s="1" t="s">
        <v>106</v>
      </c>
      <c r="C130">
        <f>D130+E130+F130+G130+H130+I130</f>
        <v>5</v>
      </c>
      <c r="D130" s="2">
        <v>0</v>
      </c>
      <c r="E130" s="2">
        <v>0</v>
      </c>
      <c r="F130" s="2">
        <v>5</v>
      </c>
      <c r="G130" s="2">
        <v>0</v>
      </c>
      <c r="H130" s="2">
        <v>0</v>
      </c>
      <c r="I130" s="2">
        <v>0</v>
      </c>
      <c r="J130" s="2">
        <v>1</v>
      </c>
      <c r="K130">
        <f>J130+L130</f>
        <v>3</v>
      </c>
      <c r="L130" s="2">
        <v>2</v>
      </c>
      <c r="M130" s="2">
        <v>2</v>
      </c>
      <c r="N130" s="2">
        <v>8</v>
      </c>
      <c r="O130" s="3">
        <f>N130/J130</f>
        <v>8</v>
      </c>
      <c r="P130" s="2">
        <v>0</v>
      </c>
      <c r="Q130" s="2">
        <v>0</v>
      </c>
      <c r="R130" s="2">
        <v>6</v>
      </c>
      <c r="S130" s="2">
        <v>0</v>
      </c>
      <c r="T130" s="2">
        <v>0</v>
      </c>
      <c r="U130" s="2">
        <v>0</v>
      </c>
      <c r="V130" s="2">
        <v>0</v>
      </c>
      <c r="W130" s="3" t="e">
        <f>V130/S130</f>
        <v>#DIV/0!</v>
      </c>
      <c r="X130" s="3" t="e">
        <f>V130/U130</f>
        <v>#DIV/0!</v>
      </c>
      <c r="Y130" s="4" t="e">
        <f>S130*6/U130</f>
        <v>#DIV/0!</v>
      </c>
      <c r="Z130" s="2">
        <v>0</v>
      </c>
      <c r="AA130" s="2">
        <v>0</v>
      </c>
      <c r="AB130" s="2">
        <v>0</v>
      </c>
      <c r="AC130" s="2">
        <v>0</v>
      </c>
    </row>
    <row r="131" spans="1:29" x14ac:dyDescent="0.35">
      <c r="A131" s="1" t="s">
        <v>185</v>
      </c>
      <c r="B131" s="1" t="s">
        <v>186</v>
      </c>
      <c r="C131">
        <f>D131+E131+F131+G131+H131+I131</f>
        <v>1</v>
      </c>
      <c r="D131" s="2">
        <v>0</v>
      </c>
      <c r="E131" s="2">
        <v>0</v>
      </c>
      <c r="F131" s="2">
        <v>0</v>
      </c>
      <c r="G131" s="2">
        <v>1</v>
      </c>
      <c r="H131" s="2">
        <v>0</v>
      </c>
      <c r="I131" s="2">
        <v>0</v>
      </c>
      <c r="J131" s="2">
        <v>1</v>
      </c>
      <c r="K131">
        <f>J131+L131</f>
        <v>1</v>
      </c>
      <c r="L131" s="2">
        <v>0</v>
      </c>
      <c r="M131" s="2">
        <v>0</v>
      </c>
      <c r="N131" s="2">
        <v>8</v>
      </c>
      <c r="O131" s="3">
        <f>N131/J131</f>
        <v>8</v>
      </c>
      <c r="P131" s="2">
        <v>0</v>
      </c>
      <c r="Q131" s="2">
        <v>0</v>
      </c>
      <c r="R131" s="2">
        <v>8</v>
      </c>
      <c r="S131" s="2">
        <v>6</v>
      </c>
      <c r="T131" s="2">
        <v>0</v>
      </c>
      <c r="U131" s="2">
        <v>0</v>
      </c>
      <c r="V131" s="2">
        <v>57</v>
      </c>
      <c r="W131" s="3">
        <f>V131/S131</f>
        <v>9.5</v>
      </c>
      <c r="X131" s="3" t="e">
        <f>V131/U131</f>
        <v>#DIV/0!</v>
      </c>
      <c r="Y131" s="4" t="e">
        <f>S131*6/U131</f>
        <v>#DIV/0!</v>
      </c>
      <c r="Z131" s="2">
        <v>0</v>
      </c>
      <c r="AA131" s="2">
        <v>0</v>
      </c>
      <c r="AB131" s="2">
        <v>0</v>
      </c>
      <c r="AC131" s="2">
        <v>0</v>
      </c>
    </row>
    <row r="132" spans="1:29" x14ac:dyDescent="0.35">
      <c r="A132" s="18" t="s">
        <v>1415</v>
      </c>
      <c r="B132" s="18" t="s">
        <v>1416</v>
      </c>
      <c r="C132" s="18">
        <f>D132+E132+F132+G132+H132+I132</f>
        <v>10</v>
      </c>
      <c r="D132" s="21">
        <v>0</v>
      </c>
      <c r="E132" s="21">
        <v>0</v>
      </c>
      <c r="F132" s="21">
        <v>0</v>
      </c>
      <c r="G132" s="21">
        <v>6</v>
      </c>
      <c r="H132" s="21">
        <v>4</v>
      </c>
      <c r="I132" s="21">
        <v>0</v>
      </c>
      <c r="J132" s="21">
        <v>8</v>
      </c>
      <c r="K132" s="18">
        <f>J132+L132</f>
        <v>10</v>
      </c>
      <c r="L132" s="21">
        <v>2</v>
      </c>
      <c r="M132" s="21">
        <v>0</v>
      </c>
      <c r="N132" s="21">
        <f>44+34</f>
        <v>78</v>
      </c>
      <c r="O132" s="19">
        <f>N132/J132</f>
        <v>9.75</v>
      </c>
      <c r="P132" s="21">
        <v>0</v>
      </c>
      <c r="Q132" s="21">
        <v>0</v>
      </c>
      <c r="R132" s="21">
        <v>24</v>
      </c>
      <c r="S132" s="18">
        <v>21</v>
      </c>
      <c r="T132" s="18">
        <v>0</v>
      </c>
      <c r="U132" s="18">
        <v>3</v>
      </c>
      <c r="V132" s="18">
        <f>64+45</f>
        <v>109</v>
      </c>
      <c r="W132" s="19">
        <f>V132/S132</f>
        <v>5.1904761904761907</v>
      </c>
      <c r="X132" s="19">
        <f>V132/U132</f>
        <v>36.333333333333336</v>
      </c>
      <c r="Y132" s="19">
        <f>S132*6/U132</f>
        <v>42</v>
      </c>
      <c r="Z132" s="18" t="s">
        <v>1186</v>
      </c>
      <c r="AA132" s="21">
        <v>0</v>
      </c>
      <c r="AB132" s="18">
        <v>0</v>
      </c>
      <c r="AC132" s="18">
        <v>2</v>
      </c>
    </row>
    <row r="133" spans="1:29" x14ac:dyDescent="0.35">
      <c r="A133" s="1" t="s">
        <v>187</v>
      </c>
      <c r="B133" s="1" t="s">
        <v>130</v>
      </c>
      <c r="C133">
        <f>D133+E133+F133+G133+H133+I133</f>
        <v>43</v>
      </c>
      <c r="D133" s="2">
        <v>0</v>
      </c>
      <c r="E133" s="2">
        <v>0</v>
      </c>
      <c r="F133" s="2">
        <v>0</v>
      </c>
      <c r="G133" s="2">
        <v>0</v>
      </c>
      <c r="H133" s="2">
        <v>18</v>
      </c>
      <c r="I133" s="2">
        <v>25</v>
      </c>
      <c r="J133" s="2">
        <v>40</v>
      </c>
      <c r="K133">
        <f>J133+L133</f>
        <v>43</v>
      </c>
      <c r="L133" s="2">
        <v>3</v>
      </c>
      <c r="M133" s="2">
        <v>2</v>
      </c>
      <c r="N133" s="2">
        <v>692</v>
      </c>
      <c r="O133" s="3">
        <f>N133/J133</f>
        <v>17.3</v>
      </c>
      <c r="P133" s="2">
        <v>2</v>
      </c>
      <c r="Q133" s="2">
        <v>0</v>
      </c>
      <c r="R133" s="2">
        <v>94</v>
      </c>
      <c r="S133" s="2">
        <v>269</v>
      </c>
      <c r="T133" s="2">
        <v>54</v>
      </c>
      <c r="U133" s="2">
        <v>29</v>
      </c>
      <c r="V133" s="2">
        <v>822</v>
      </c>
      <c r="W133" s="3">
        <f>V133/S133</f>
        <v>3.0557620817843865</v>
      </c>
      <c r="X133" s="3">
        <f>V133/U133</f>
        <v>28.344827586206897</v>
      </c>
      <c r="Y133" s="4">
        <f>S133*6/U133</f>
        <v>55.655172413793103</v>
      </c>
      <c r="Z133" s="2">
        <v>3</v>
      </c>
      <c r="AA133" s="2">
        <v>0</v>
      </c>
      <c r="AB133" s="2">
        <v>0</v>
      </c>
      <c r="AC133" s="2">
        <v>10</v>
      </c>
    </row>
    <row r="134" spans="1:29" x14ac:dyDescent="0.35">
      <c r="A134" s="1" t="s">
        <v>187</v>
      </c>
      <c r="B134" s="1" t="s">
        <v>186</v>
      </c>
      <c r="C134">
        <f>D134+E134+F134+G134+H134+I134</f>
        <v>9</v>
      </c>
      <c r="D134" s="2">
        <v>0</v>
      </c>
      <c r="E134" s="2">
        <v>0</v>
      </c>
      <c r="F134" s="2">
        <v>0</v>
      </c>
      <c r="G134" s="2">
        <v>0</v>
      </c>
      <c r="H134" s="2">
        <v>4</v>
      </c>
      <c r="I134" s="2">
        <v>5</v>
      </c>
      <c r="J134" s="2">
        <v>9</v>
      </c>
      <c r="K134">
        <f>J134+L134</f>
        <v>10</v>
      </c>
      <c r="L134" s="2">
        <v>1</v>
      </c>
      <c r="M134" s="2">
        <v>0</v>
      </c>
      <c r="N134" s="2">
        <v>68</v>
      </c>
      <c r="O134" s="3">
        <f>N134/J134</f>
        <v>7.5555555555555554</v>
      </c>
      <c r="P134" s="2">
        <v>0</v>
      </c>
      <c r="Q134" s="2">
        <v>0</v>
      </c>
      <c r="R134" s="2">
        <v>25</v>
      </c>
      <c r="S134" s="2">
        <v>4</v>
      </c>
      <c r="T134" s="2">
        <v>0</v>
      </c>
      <c r="U134" s="2">
        <v>0</v>
      </c>
      <c r="V134" s="2">
        <v>31</v>
      </c>
      <c r="W134" s="3">
        <f>V134/S134</f>
        <v>7.75</v>
      </c>
      <c r="X134" s="3" t="e">
        <f>V134/U134</f>
        <v>#DIV/0!</v>
      </c>
      <c r="Y134" s="4" t="e">
        <f>S134*6/U134</f>
        <v>#DIV/0!</v>
      </c>
      <c r="Z134" s="2">
        <v>0</v>
      </c>
      <c r="AA134" s="2">
        <v>0</v>
      </c>
      <c r="AB134" s="2">
        <v>0</v>
      </c>
      <c r="AC134" s="2">
        <v>2</v>
      </c>
    </row>
    <row r="135" spans="1:29" x14ac:dyDescent="0.35">
      <c r="A135" s="1" t="s">
        <v>188</v>
      </c>
      <c r="B135" s="1" t="s">
        <v>127</v>
      </c>
      <c r="C135">
        <f>D135+E135+F135+G135+H135+I135</f>
        <v>6</v>
      </c>
      <c r="D135" s="2">
        <v>0</v>
      </c>
      <c r="E135" s="2">
        <v>0</v>
      </c>
      <c r="F135" s="2">
        <v>6</v>
      </c>
      <c r="G135" s="2">
        <v>0</v>
      </c>
      <c r="H135" s="2">
        <v>0</v>
      </c>
      <c r="I135" s="2">
        <v>0</v>
      </c>
      <c r="J135" s="2">
        <v>4</v>
      </c>
      <c r="K135">
        <f>J135+L135</f>
        <v>5</v>
      </c>
      <c r="L135" s="2">
        <v>1</v>
      </c>
      <c r="M135" s="2">
        <v>2</v>
      </c>
      <c r="N135" s="2">
        <v>15</v>
      </c>
      <c r="O135" s="3">
        <f>N135/J135</f>
        <v>3.75</v>
      </c>
      <c r="P135" s="2">
        <v>0</v>
      </c>
      <c r="Q135" s="2">
        <v>0</v>
      </c>
      <c r="R135" s="2">
        <v>5</v>
      </c>
      <c r="S135" s="2">
        <v>51</v>
      </c>
      <c r="T135" s="2">
        <v>11</v>
      </c>
      <c r="U135" s="2">
        <v>5</v>
      </c>
      <c r="V135" s="2">
        <v>143</v>
      </c>
      <c r="W135" s="3">
        <f>V135/S135</f>
        <v>2.8039215686274508</v>
      </c>
      <c r="X135" s="3">
        <f>V135/U135</f>
        <v>28.6</v>
      </c>
      <c r="Y135" s="4">
        <f>S135*6/U135</f>
        <v>61.2</v>
      </c>
      <c r="Z135" s="2">
        <v>2</v>
      </c>
      <c r="AA135" s="2">
        <v>0</v>
      </c>
      <c r="AB135" s="2">
        <v>0</v>
      </c>
      <c r="AC135" s="2">
        <v>4</v>
      </c>
    </row>
    <row r="136" spans="1:29" x14ac:dyDescent="0.35">
      <c r="A136" s="1" t="s">
        <v>189</v>
      </c>
      <c r="B136" s="1" t="s">
        <v>190</v>
      </c>
      <c r="C136">
        <f>D136+E136+F136+G136+H136+I136</f>
        <v>14</v>
      </c>
      <c r="D136" s="2">
        <v>0</v>
      </c>
      <c r="E136" s="2">
        <v>0</v>
      </c>
      <c r="F136" s="2">
        <v>0</v>
      </c>
      <c r="G136" s="2">
        <v>12</v>
      </c>
      <c r="H136" s="2">
        <v>2</v>
      </c>
      <c r="I136" s="2">
        <v>0</v>
      </c>
      <c r="J136" s="2">
        <v>7</v>
      </c>
      <c r="K136">
        <f>J136+L136</f>
        <v>9</v>
      </c>
      <c r="L136" s="2">
        <v>2</v>
      </c>
      <c r="M136" s="2">
        <v>5</v>
      </c>
      <c r="N136" s="2">
        <v>37</v>
      </c>
      <c r="O136" s="3">
        <f>N136/J136</f>
        <v>5.2857142857142856</v>
      </c>
      <c r="P136" s="2">
        <v>0</v>
      </c>
      <c r="Q136" s="2">
        <v>0</v>
      </c>
      <c r="R136" s="2">
        <v>10</v>
      </c>
      <c r="S136" s="2">
        <v>0</v>
      </c>
      <c r="T136" s="2">
        <v>0</v>
      </c>
      <c r="U136" s="2">
        <v>0</v>
      </c>
      <c r="V136" s="2">
        <v>0</v>
      </c>
      <c r="W136" s="3" t="e">
        <f>V136/S136</f>
        <v>#DIV/0!</v>
      </c>
      <c r="X136" s="3" t="e">
        <f>V136/U136</f>
        <v>#DIV/0!</v>
      </c>
      <c r="Y136" s="4" t="e">
        <f>S136*6/U136</f>
        <v>#DIV/0!</v>
      </c>
      <c r="Z136" s="2">
        <v>0</v>
      </c>
      <c r="AA136" s="2">
        <v>0</v>
      </c>
      <c r="AB136" s="2">
        <v>0</v>
      </c>
      <c r="AC136" s="2">
        <v>4</v>
      </c>
    </row>
    <row r="137" spans="1:29" x14ac:dyDescent="0.35">
      <c r="A137" s="1" t="s">
        <v>191</v>
      </c>
      <c r="B137" s="1" t="s">
        <v>31</v>
      </c>
      <c r="C137">
        <f>D137+E137+F137+G137+H137+I137</f>
        <v>62</v>
      </c>
      <c r="D137" s="2">
        <v>0</v>
      </c>
      <c r="E137" s="2">
        <v>0</v>
      </c>
      <c r="F137" s="2">
        <v>0</v>
      </c>
      <c r="G137" s="2">
        <v>38</v>
      </c>
      <c r="H137" s="2">
        <v>23</v>
      </c>
      <c r="I137" s="2">
        <v>1</v>
      </c>
      <c r="J137" s="2">
        <v>22</v>
      </c>
      <c r="K137">
        <f>J137+L137</f>
        <v>47</v>
      </c>
      <c r="L137" s="2">
        <v>25</v>
      </c>
      <c r="M137" s="2">
        <v>18</v>
      </c>
      <c r="N137" s="2">
        <v>636</v>
      </c>
      <c r="O137" s="3">
        <f>N137/J137</f>
        <v>28.90909090909091</v>
      </c>
      <c r="P137" s="2">
        <v>2</v>
      </c>
      <c r="Q137" s="2">
        <v>0</v>
      </c>
      <c r="R137" s="2">
        <v>67</v>
      </c>
      <c r="S137" s="2">
        <v>753</v>
      </c>
      <c r="T137" s="2">
        <v>182</v>
      </c>
      <c r="U137" s="2">
        <v>112</v>
      </c>
      <c r="V137" s="2">
        <v>1828</v>
      </c>
      <c r="W137" s="3">
        <f>V137/S137</f>
        <v>2.4276228419654715</v>
      </c>
      <c r="X137" s="3">
        <f>V137/U137</f>
        <v>16.321428571428573</v>
      </c>
      <c r="Y137" s="4">
        <f>S137*6/U137</f>
        <v>40.339285714285715</v>
      </c>
      <c r="Z137" s="2">
        <v>6</v>
      </c>
      <c r="AA137" s="2">
        <v>6</v>
      </c>
      <c r="AB137" s="2">
        <v>0</v>
      </c>
      <c r="AC137" s="2">
        <v>7</v>
      </c>
    </row>
    <row r="138" spans="1:29" x14ac:dyDescent="0.35">
      <c r="A138" s="1" t="s">
        <v>192</v>
      </c>
      <c r="B138" s="1" t="s">
        <v>16</v>
      </c>
      <c r="C138">
        <f>D138+E138+F138+G138+H138+I138</f>
        <v>17</v>
      </c>
      <c r="D138" s="2">
        <v>0</v>
      </c>
      <c r="E138" s="2">
        <v>6</v>
      </c>
      <c r="F138" s="2">
        <v>2</v>
      </c>
      <c r="G138" s="2">
        <v>7</v>
      </c>
      <c r="H138" s="2">
        <v>2</v>
      </c>
      <c r="I138" s="2">
        <v>0</v>
      </c>
      <c r="J138" s="2">
        <v>20</v>
      </c>
      <c r="K138">
        <f>J138+L138</f>
        <v>21</v>
      </c>
      <c r="L138" s="2">
        <v>1</v>
      </c>
      <c r="M138" s="2">
        <v>2</v>
      </c>
      <c r="N138" s="2">
        <v>271</v>
      </c>
      <c r="O138" s="3">
        <f>N138/J138</f>
        <v>13.55</v>
      </c>
      <c r="P138" s="2">
        <v>0</v>
      </c>
      <c r="Q138" s="2">
        <v>0</v>
      </c>
      <c r="R138" s="2">
        <v>35</v>
      </c>
      <c r="S138" s="2">
        <v>2</v>
      </c>
      <c r="T138" s="2">
        <v>0</v>
      </c>
      <c r="U138" s="2">
        <v>0</v>
      </c>
      <c r="V138" s="2">
        <v>10</v>
      </c>
      <c r="W138" s="3">
        <f>V138/S138</f>
        <v>5</v>
      </c>
      <c r="X138" s="3" t="e">
        <f>V138/U138</f>
        <v>#DIV/0!</v>
      </c>
      <c r="Y138" s="4" t="e">
        <f>S138*6/U138</f>
        <v>#DIV/0!</v>
      </c>
      <c r="Z138" s="2">
        <v>0</v>
      </c>
      <c r="AA138" s="2">
        <v>0</v>
      </c>
      <c r="AB138" s="2">
        <v>0</v>
      </c>
      <c r="AC138" s="2">
        <v>8</v>
      </c>
    </row>
    <row r="139" spans="1:29" x14ac:dyDescent="0.35">
      <c r="A139" s="1" t="s">
        <v>192</v>
      </c>
      <c r="B139" s="1" t="s">
        <v>193</v>
      </c>
      <c r="C139">
        <f>D139+E139+F139+G139+H139+I139</f>
        <v>1</v>
      </c>
      <c r="D139" s="2">
        <v>0</v>
      </c>
      <c r="E139" s="2">
        <v>0</v>
      </c>
      <c r="F139" s="2">
        <v>0</v>
      </c>
      <c r="G139" s="2">
        <v>0</v>
      </c>
      <c r="H139" s="2">
        <v>1</v>
      </c>
      <c r="I139" s="2">
        <v>0</v>
      </c>
      <c r="J139" s="2">
        <v>1</v>
      </c>
      <c r="K139">
        <f>J139+L139</f>
        <v>1</v>
      </c>
      <c r="L139" s="2">
        <v>0</v>
      </c>
      <c r="M139" s="2">
        <v>0</v>
      </c>
      <c r="N139" s="2">
        <v>5</v>
      </c>
      <c r="O139" s="3">
        <f>N139/J139</f>
        <v>5</v>
      </c>
      <c r="P139" s="2">
        <v>0</v>
      </c>
      <c r="Q139" s="2">
        <v>0</v>
      </c>
      <c r="R139" s="2">
        <v>5</v>
      </c>
      <c r="S139" s="2">
        <v>0</v>
      </c>
      <c r="T139" s="2">
        <v>0</v>
      </c>
      <c r="U139" s="2">
        <v>0</v>
      </c>
      <c r="V139" s="2">
        <v>0</v>
      </c>
      <c r="W139" s="3" t="e">
        <f>V139/S139</f>
        <v>#DIV/0!</v>
      </c>
      <c r="X139" s="3" t="e">
        <f>V139/U139</f>
        <v>#DIV/0!</v>
      </c>
      <c r="Y139" s="4" t="e">
        <f>S139*6/U139</f>
        <v>#DIV/0!</v>
      </c>
      <c r="Z139" s="2">
        <v>0</v>
      </c>
      <c r="AA139" s="2">
        <v>0</v>
      </c>
      <c r="AB139" s="2">
        <v>0</v>
      </c>
      <c r="AC139" s="2">
        <v>0</v>
      </c>
    </row>
    <row r="140" spans="1:29" x14ac:dyDescent="0.35">
      <c r="A140" s="1" t="s">
        <v>194</v>
      </c>
      <c r="B140" s="1" t="s">
        <v>24</v>
      </c>
      <c r="C140">
        <f>D140+E140+F140+G140+H140+I140</f>
        <v>1</v>
      </c>
      <c r="D140" s="2">
        <v>0</v>
      </c>
      <c r="E140" s="2">
        <v>1</v>
      </c>
      <c r="F140" s="2">
        <v>0</v>
      </c>
      <c r="G140" s="2">
        <v>0</v>
      </c>
      <c r="H140" s="2">
        <v>0</v>
      </c>
      <c r="I140" s="2">
        <v>0</v>
      </c>
      <c r="J140" s="2">
        <v>1</v>
      </c>
      <c r="K140">
        <f>J140+L140</f>
        <v>1</v>
      </c>
      <c r="L140" s="2">
        <v>0</v>
      </c>
      <c r="M140" s="2">
        <v>0</v>
      </c>
      <c r="N140" s="2">
        <v>40</v>
      </c>
      <c r="O140" s="3">
        <f>N140/J140</f>
        <v>40</v>
      </c>
      <c r="P140" s="2">
        <v>0</v>
      </c>
      <c r="Q140" s="2">
        <v>0</v>
      </c>
      <c r="R140" s="2">
        <v>40</v>
      </c>
      <c r="S140" s="2">
        <v>0</v>
      </c>
      <c r="T140" s="2">
        <v>0</v>
      </c>
      <c r="U140" s="2">
        <v>0</v>
      </c>
      <c r="V140" s="2">
        <v>0</v>
      </c>
      <c r="W140" s="3" t="e">
        <f>V140/S140</f>
        <v>#DIV/0!</v>
      </c>
      <c r="X140" s="3" t="e">
        <f>V140/U140</f>
        <v>#DIV/0!</v>
      </c>
      <c r="Y140" s="4" t="e">
        <f>S140*6/U140</f>
        <v>#DIV/0!</v>
      </c>
      <c r="Z140" s="2">
        <v>0</v>
      </c>
      <c r="AA140" s="2">
        <v>0</v>
      </c>
      <c r="AB140" s="2">
        <v>0</v>
      </c>
      <c r="AC140" s="2">
        <v>0</v>
      </c>
    </row>
    <row r="141" spans="1:29" x14ac:dyDescent="0.35">
      <c r="A141" s="1" t="s">
        <v>195</v>
      </c>
      <c r="B141" s="1" t="s">
        <v>196</v>
      </c>
      <c r="C141">
        <f>D141+E141+F141+G141+H141+I141</f>
        <v>31</v>
      </c>
      <c r="D141" s="2">
        <v>0</v>
      </c>
      <c r="E141" s="2">
        <v>10</v>
      </c>
      <c r="F141" s="2">
        <v>11</v>
      </c>
      <c r="G141" s="2">
        <v>0</v>
      </c>
      <c r="H141" s="2">
        <v>5</v>
      </c>
      <c r="I141" s="2">
        <v>5</v>
      </c>
      <c r="J141" s="2">
        <v>36</v>
      </c>
      <c r="K141">
        <f>J141+L141</f>
        <v>38</v>
      </c>
      <c r="L141" s="2">
        <v>2</v>
      </c>
      <c r="M141" s="2">
        <v>4</v>
      </c>
      <c r="N141" s="2">
        <v>816</v>
      </c>
      <c r="O141" s="3">
        <f>N141/J141</f>
        <v>22.666666666666668</v>
      </c>
      <c r="P141" s="2">
        <v>4</v>
      </c>
      <c r="Q141" s="2">
        <v>1</v>
      </c>
      <c r="R141" s="2">
        <v>125</v>
      </c>
      <c r="S141" s="2">
        <v>481</v>
      </c>
      <c r="T141" s="2">
        <v>121</v>
      </c>
      <c r="U141" s="2">
        <v>71</v>
      </c>
      <c r="V141" s="2">
        <v>1196</v>
      </c>
      <c r="W141" s="3">
        <f>V141/S141</f>
        <v>2.4864864864864864</v>
      </c>
      <c r="X141" s="3">
        <f>V141/U141</f>
        <v>16.845070422535212</v>
      </c>
      <c r="Y141" s="4">
        <f>S141*6/U141</f>
        <v>40.647887323943664</v>
      </c>
      <c r="Z141" s="2">
        <v>4</v>
      </c>
      <c r="AA141" s="2">
        <v>0</v>
      </c>
      <c r="AB141" s="2">
        <v>0</v>
      </c>
      <c r="AC141" s="2">
        <v>9</v>
      </c>
    </row>
    <row r="142" spans="1:29" x14ac:dyDescent="0.35">
      <c r="A142" s="1" t="s">
        <v>197</v>
      </c>
      <c r="B142" s="1" t="s">
        <v>144</v>
      </c>
      <c r="C142">
        <f>D142+E142+F142+G142+H142+I142</f>
        <v>97</v>
      </c>
      <c r="D142" s="2">
        <v>15</v>
      </c>
      <c r="E142" s="2">
        <v>10</v>
      </c>
      <c r="F142" s="2">
        <v>10</v>
      </c>
      <c r="G142" s="2">
        <v>34</v>
      </c>
      <c r="H142" s="2">
        <v>8</v>
      </c>
      <c r="I142" s="2">
        <v>20</v>
      </c>
      <c r="J142" s="2">
        <v>81</v>
      </c>
      <c r="K142">
        <f>J142+L142</f>
        <v>95</v>
      </c>
      <c r="L142" s="2">
        <v>14</v>
      </c>
      <c r="M142" s="2">
        <v>19</v>
      </c>
      <c r="N142" s="2">
        <v>3487</v>
      </c>
      <c r="O142" s="3">
        <f>N142/J142</f>
        <v>43.049382716049379</v>
      </c>
      <c r="P142" s="2">
        <v>20</v>
      </c>
      <c r="Q142" s="2">
        <v>7</v>
      </c>
      <c r="R142" s="2">
        <v>201</v>
      </c>
      <c r="S142" s="2">
        <v>10</v>
      </c>
      <c r="T142" s="2">
        <v>0</v>
      </c>
      <c r="U142" s="2">
        <v>4</v>
      </c>
      <c r="V142" s="2">
        <v>47</v>
      </c>
      <c r="W142" s="3">
        <f>V142/S142</f>
        <v>4.7</v>
      </c>
      <c r="X142" s="3">
        <f>V142/U142</f>
        <v>11.75</v>
      </c>
      <c r="Y142" s="4">
        <f>S142*6/U142</f>
        <v>15</v>
      </c>
      <c r="Z142" s="2">
        <v>2</v>
      </c>
      <c r="AA142" s="2">
        <v>0</v>
      </c>
      <c r="AB142" s="2">
        <v>0</v>
      </c>
      <c r="AC142" s="2">
        <v>66</v>
      </c>
    </row>
    <row r="143" spans="1:29" x14ac:dyDescent="0.35">
      <c r="A143" s="1" t="s">
        <v>197</v>
      </c>
      <c r="B143" s="1" t="s">
        <v>190</v>
      </c>
      <c r="C143">
        <f>D143+E143+F143+G143+H143+I143</f>
        <v>44</v>
      </c>
      <c r="D143" s="2">
        <v>0</v>
      </c>
      <c r="E143" s="2">
        <v>0</v>
      </c>
      <c r="F143" s="2">
        <v>5</v>
      </c>
      <c r="G143" s="2">
        <v>15</v>
      </c>
      <c r="H143" s="2">
        <v>2</v>
      </c>
      <c r="I143" s="2">
        <v>22</v>
      </c>
      <c r="J143" s="2">
        <v>33</v>
      </c>
      <c r="K143">
        <f>J143+L143</f>
        <v>43</v>
      </c>
      <c r="L143" s="2">
        <v>10</v>
      </c>
      <c r="M143" s="2">
        <v>4</v>
      </c>
      <c r="N143" s="2">
        <v>1232</v>
      </c>
      <c r="O143" s="3">
        <f>N143/J143</f>
        <v>37.333333333333336</v>
      </c>
      <c r="P143" s="2">
        <v>8</v>
      </c>
      <c r="Q143" s="2">
        <v>3</v>
      </c>
      <c r="R143" s="2">
        <v>140</v>
      </c>
      <c r="S143" s="2">
        <v>47</v>
      </c>
      <c r="T143" s="2">
        <v>2</v>
      </c>
      <c r="U143" s="2">
        <v>9</v>
      </c>
      <c r="V143" s="2">
        <v>239</v>
      </c>
      <c r="W143" s="3">
        <f>V143/S143</f>
        <v>5.0851063829787231</v>
      </c>
      <c r="X143" s="3">
        <f>V143/U143</f>
        <v>26.555555555555557</v>
      </c>
      <c r="Y143" s="4">
        <f>S143*6/U143</f>
        <v>31.333333333333332</v>
      </c>
      <c r="Z143" s="2">
        <v>3</v>
      </c>
      <c r="AA143" s="2">
        <v>0</v>
      </c>
      <c r="AB143" s="2">
        <v>0</v>
      </c>
      <c r="AC143" s="2">
        <v>23</v>
      </c>
    </row>
    <row r="144" spans="1:29" x14ac:dyDescent="0.35">
      <c r="A144" s="1" t="s">
        <v>197</v>
      </c>
      <c r="B144" s="1" t="s">
        <v>198</v>
      </c>
      <c r="C144">
        <f>D144+E144+F144+G144+H144+I144</f>
        <v>51</v>
      </c>
      <c r="D144" s="2">
        <v>14</v>
      </c>
      <c r="E144" s="2">
        <v>13</v>
      </c>
      <c r="F144" s="2">
        <v>8</v>
      </c>
      <c r="G144" s="2">
        <v>16</v>
      </c>
      <c r="H144" s="2">
        <v>0</v>
      </c>
      <c r="I144" s="2">
        <v>0</v>
      </c>
      <c r="J144" s="2">
        <v>37</v>
      </c>
      <c r="K144">
        <f>J144+L144</f>
        <v>52</v>
      </c>
      <c r="L144" s="2">
        <v>15</v>
      </c>
      <c r="M144" s="2">
        <v>5</v>
      </c>
      <c r="N144" s="2">
        <v>824</v>
      </c>
      <c r="O144" s="3">
        <f>N144/J144</f>
        <v>22.27027027027027</v>
      </c>
      <c r="P144" s="2">
        <v>4</v>
      </c>
      <c r="Q144" s="2">
        <v>0</v>
      </c>
      <c r="R144" s="2">
        <v>61</v>
      </c>
      <c r="S144" s="2">
        <v>308</v>
      </c>
      <c r="T144" s="2">
        <v>68</v>
      </c>
      <c r="U144" s="2">
        <v>52</v>
      </c>
      <c r="V144" s="2">
        <v>990</v>
      </c>
      <c r="W144" s="3">
        <f>V144/S144</f>
        <v>3.2142857142857144</v>
      </c>
      <c r="X144" s="3">
        <f>V144/U144</f>
        <v>19.03846153846154</v>
      </c>
      <c r="Y144" s="4">
        <f>S144*6/U144</f>
        <v>35.53846153846154</v>
      </c>
      <c r="Z144" s="2">
        <v>7</v>
      </c>
      <c r="AA144" s="2">
        <v>2</v>
      </c>
      <c r="AB144" s="2">
        <v>0</v>
      </c>
      <c r="AC144" s="2">
        <v>16</v>
      </c>
    </row>
    <row r="145" spans="1:29" x14ac:dyDescent="0.35">
      <c r="A145" s="1" t="s">
        <v>197</v>
      </c>
      <c r="B145" s="1" t="s">
        <v>199</v>
      </c>
      <c r="C145">
        <f>D145+E145+F145+G145+H145+I145</f>
        <v>6</v>
      </c>
      <c r="D145" s="2">
        <v>0</v>
      </c>
      <c r="E145" s="2">
        <v>0</v>
      </c>
      <c r="F145" s="2">
        <v>6</v>
      </c>
      <c r="G145" s="2">
        <v>0</v>
      </c>
      <c r="H145" s="2">
        <v>0</v>
      </c>
      <c r="I145" s="2">
        <v>0</v>
      </c>
      <c r="J145" s="2">
        <v>4</v>
      </c>
      <c r="K145">
        <f>J145+L145</f>
        <v>6</v>
      </c>
      <c r="L145" s="2">
        <v>2</v>
      </c>
      <c r="M145" s="2">
        <v>1</v>
      </c>
      <c r="N145" s="2">
        <v>48</v>
      </c>
      <c r="O145" s="3">
        <f>N145/J145</f>
        <v>12</v>
      </c>
      <c r="P145" s="2">
        <v>0</v>
      </c>
      <c r="Q145" s="2">
        <v>0</v>
      </c>
      <c r="R145" s="2">
        <v>34</v>
      </c>
      <c r="S145" s="2">
        <v>18</v>
      </c>
      <c r="T145" s="2">
        <v>2</v>
      </c>
      <c r="U145" s="2">
        <v>2</v>
      </c>
      <c r="V145" s="2">
        <v>76</v>
      </c>
      <c r="W145" s="3">
        <f>V145/S145</f>
        <v>4.2222222222222223</v>
      </c>
      <c r="X145" s="3">
        <f>V145/U145</f>
        <v>38</v>
      </c>
      <c r="Y145" s="4">
        <f>S145*6/U145</f>
        <v>54</v>
      </c>
      <c r="Z145" s="2">
        <v>2</v>
      </c>
      <c r="AA145" s="2">
        <v>0</v>
      </c>
      <c r="AB145" s="2">
        <v>0</v>
      </c>
      <c r="AC145" s="2">
        <v>3</v>
      </c>
    </row>
    <row r="146" spans="1:29" x14ac:dyDescent="0.35">
      <c r="A146" s="35" t="s">
        <v>1280</v>
      </c>
      <c r="B146" s="35" t="s">
        <v>1281</v>
      </c>
      <c r="C146">
        <f>D146+E146+F146+G146+H146+I146</f>
        <v>22</v>
      </c>
      <c r="D146" s="5">
        <v>0</v>
      </c>
      <c r="E146" s="5">
        <v>0</v>
      </c>
      <c r="F146" s="5">
        <v>0</v>
      </c>
      <c r="G146" s="5">
        <v>0</v>
      </c>
      <c r="H146" s="5">
        <v>12</v>
      </c>
      <c r="I146" s="5">
        <v>10</v>
      </c>
      <c r="J146" s="5">
        <v>18</v>
      </c>
      <c r="K146">
        <f>J146+L146</f>
        <v>19</v>
      </c>
      <c r="L146" s="5">
        <v>1</v>
      </c>
      <c r="M146" s="5">
        <v>3</v>
      </c>
      <c r="N146" s="5">
        <f>81+70</f>
        <v>151</v>
      </c>
      <c r="O146" s="3">
        <f>N146/J146</f>
        <v>8.3888888888888893</v>
      </c>
      <c r="P146" s="5">
        <v>0</v>
      </c>
      <c r="Q146" s="5">
        <v>0</v>
      </c>
      <c r="R146" s="5">
        <v>30</v>
      </c>
      <c r="S146" s="35">
        <v>8</v>
      </c>
      <c r="T146" s="35">
        <v>0</v>
      </c>
      <c r="U146" s="35">
        <v>1</v>
      </c>
      <c r="V146" s="35">
        <v>26</v>
      </c>
      <c r="W146" s="3">
        <f>V146/S146</f>
        <v>3.25</v>
      </c>
      <c r="X146" s="3">
        <f>V146/U146</f>
        <v>26</v>
      </c>
      <c r="Y146" s="3">
        <v>48</v>
      </c>
      <c r="Z146" s="35" t="s">
        <v>1212</v>
      </c>
      <c r="AA146" s="35">
        <v>0</v>
      </c>
      <c r="AB146" s="35">
        <v>0</v>
      </c>
      <c r="AC146" s="45">
        <v>7</v>
      </c>
    </row>
    <row r="147" spans="1:29" x14ac:dyDescent="0.35">
      <c r="A147" s="15" t="s">
        <v>200</v>
      </c>
      <c r="B147" s="15" t="s">
        <v>201</v>
      </c>
      <c r="C147" s="18">
        <f>D147+E147+F147+G147+H147+I147</f>
        <v>139</v>
      </c>
      <c r="D147" s="16">
        <v>43</v>
      </c>
      <c r="E147" s="16">
        <f>76+8</f>
        <v>84</v>
      </c>
      <c r="F147" s="16">
        <v>4</v>
      </c>
      <c r="G147" s="16">
        <v>8</v>
      </c>
      <c r="H147" s="16">
        <v>0</v>
      </c>
      <c r="I147" s="16">
        <v>0</v>
      </c>
      <c r="J147" s="16">
        <v>124</v>
      </c>
      <c r="K147" s="18">
        <f>J147+L147</f>
        <v>137</v>
      </c>
      <c r="L147" s="16">
        <v>13</v>
      </c>
      <c r="M147" s="16">
        <v>11</v>
      </c>
      <c r="N147" s="16">
        <f>2178+223</f>
        <v>2401</v>
      </c>
      <c r="O147" s="19">
        <f>N147/J147</f>
        <v>19.362903225806452</v>
      </c>
      <c r="P147" s="16">
        <v>11</v>
      </c>
      <c r="Q147" s="16">
        <v>1</v>
      </c>
      <c r="R147" s="16">
        <v>107</v>
      </c>
      <c r="S147" s="16">
        <v>196.1</v>
      </c>
      <c r="T147" s="16">
        <v>19</v>
      </c>
      <c r="U147" s="16">
        <v>30</v>
      </c>
      <c r="V147" s="16">
        <v>855</v>
      </c>
      <c r="W147" s="19">
        <f>V147/S147</f>
        <v>4.3600203977562471</v>
      </c>
      <c r="X147" s="19">
        <f>V147/U147</f>
        <v>28.5</v>
      </c>
      <c r="Y147" s="20">
        <f>S147*6/U147</f>
        <v>39.22</v>
      </c>
      <c r="Z147" s="16">
        <v>4</v>
      </c>
      <c r="AA147" s="16">
        <v>0</v>
      </c>
      <c r="AB147" s="16">
        <v>0</v>
      </c>
      <c r="AC147" s="16">
        <v>42</v>
      </c>
    </row>
    <row r="148" spans="1:29" x14ac:dyDescent="0.35">
      <c r="A148" s="1" t="s">
        <v>202</v>
      </c>
      <c r="B148" s="1" t="s">
        <v>16</v>
      </c>
      <c r="C148">
        <f>D148+E148+F148+G148+H148+I148</f>
        <v>33</v>
      </c>
      <c r="D148" s="2">
        <v>5</v>
      </c>
      <c r="E148" s="2">
        <v>12</v>
      </c>
      <c r="F148" s="2">
        <v>16</v>
      </c>
      <c r="G148" s="2">
        <v>0</v>
      </c>
      <c r="H148" s="2">
        <v>0</v>
      </c>
      <c r="I148" s="2">
        <v>0</v>
      </c>
      <c r="J148" s="2">
        <v>20</v>
      </c>
      <c r="K148">
        <f>J148+L148</f>
        <v>24</v>
      </c>
      <c r="L148" s="2">
        <v>4</v>
      </c>
      <c r="M148" s="2">
        <v>9</v>
      </c>
      <c r="N148" s="2">
        <v>261</v>
      </c>
      <c r="O148" s="3">
        <f>N148/J148</f>
        <v>13.05</v>
      </c>
      <c r="P148" s="2">
        <v>0</v>
      </c>
      <c r="Q148" s="2">
        <v>0</v>
      </c>
      <c r="R148" s="2">
        <v>36</v>
      </c>
      <c r="S148" s="2">
        <v>1</v>
      </c>
      <c r="T148" s="2">
        <v>0</v>
      </c>
      <c r="U148" s="2">
        <v>0</v>
      </c>
      <c r="V148" s="2">
        <v>2</v>
      </c>
      <c r="W148" s="3">
        <f>V148/S148</f>
        <v>2</v>
      </c>
      <c r="X148" s="3" t="e">
        <f>V148/U148</f>
        <v>#DIV/0!</v>
      </c>
      <c r="Y148" s="4" t="e">
        <f>S148*6/U148</f>
        <v>#DIV/0!</v>
      </c>
      <c r="Z148" s="2">
        <v>0</v>
      </c>
      <c r="AA148" s="2">
        <v>0</v>
      </c>
      <c r="AB148" s="2">
        <v>0</v>
      </c>
      <c r="AC148" s="2">
        <v>18</v>
      </c>
    </row>
    <row r="149" spans="1:29" x14ac:dyDescent="0.35">
      <c r="A149" s="1" t="s">
        <v>202</v>
      </c>
      <c r="B149" s="1" t="s">
        <v>193</v>
      </c>
      <c r="C149">
        <f>D149+E149+F149+G149+H149+I149</f>
        <v>2</v>
      </c>
      <c r="D149" s="2">
        <v>0</v>
      </c>
      <c r="E149" s="2">
        <v>0</v>
      </c>
      <c r="F149" s="2">
        <v>0</v>
      </c>
      <c r="G149" s="2">
        <v>0</v>
      </c>
      <c r="H149" s="2">
        <v>2</v>
      </c>
      <c r="I149" s="2">
        <v>0</v>
      </c>
      <c r="J149" s="2">
        <v>3</v>
      </c>
      <c r="K149">
        <f>J149+L149</f>
        <v>3</v>
      </c>
      <c r="L149" s="2">
        <v>0</v>
      </c>
      <c r="M149" s="2">
        <v>0</v>
      </c>
      <c r="N149" s="2">
        <v>1</v>
      </c>
      <c r="O149" s="3">
        <f>N149/J149</f>
        <v>0.33333333333333331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3" t="e">
        <f>V149/S149</f>
        <v>#DIV/0!</v>
      </c>
      <c r="X149" s="3" t="e">
        <f>V149/U149</f>
        <v>#DIV/0!</v>
      </c>
      <c r="Y149" s="4" t="e">
        <f>S149*6/U149</f>
        <v>#DIV/0!</v>
      </c>
      <c r="Z149" s="2">
        <v>0</v>
      </c>
      <c r="AA149" s="2">
        <v>0</v>
      </c>
      <c r="AB149" s="2">
        <v>0</v>
      </c>
      <c r="AC149" s="2">
        <v>2</v>
      </c>
    </row>
    <row r="150" spans="1:29" x14ac:dyDescent="0.35">
      <c r="A150" s="1" t="s">
        <v>203</v>
      </c>
      <c r="B150" s="1" t="s">
        <v>204</v>
      </c>
      <c r="C150">
        <f>D150+E150+F150+G150+H150+I150</f>
        <v>2</v>
      </c>
      <c r="D150" s="2">
        <v>0</v>
      </c>
      <c r="E150" s="2">
        <v>0</v>
      </c>
      <c r="F150" s="2">
        <v>0</v>
      </c>
      <c r="G150" s="2">
        <v>2</v>
      </c>
      <c r="H150" s="2">
        <v>0</v>
      </c>
      <c r="I150" s="2">
        <v>0</v>
      </c>
      <c r="J150" s="2">
        <v>1</v>
      </c>
      <c r="K150">
        <f>J150+L150</f>
        <v>1</v>
      </c>
      <c r="L150" s="2">
        <v>0</v>
      </c>
      <c r="M150" s="2">
        <v>1</v>
      </c>
      <c r="N150" s="2">
        <v>9</v>
      </c>
      <c r="O150" s="3">
        <f>N150/J150</f>
        <v>9</v>
      </c>
      <c r="P150" s="2">
        <v>0</v>
      </c>
      <c r="Q150" s="2">
        <v>0</v>
      </c>
      <c r="R150" s="2">
        <v>9</v>
      </c>
      <c r="S150" s="2">
        <v>30</v>
      </c>
      <c r="T150" s="2">
        <v>5</v>
      </c>
      <c r="U150" s="2">
        <v>3</v>
      </c>
      <c r="V150" s="2">
        <v>76</v>
      </c>
      <c r="W150" s="3">
        <f>V150/S150</f>
        <v>2.5333333333333332</v>
      </c>
      <c r="X150" s="3">
        <f>V150/U150</f>
        <v>25.333333333333332</v>
      </c>
      <c r="Y150" s="4">
        <f>S150*6/U150</f>
        <v>60</v>
      </c>
      <c r="Z150" s="2">
        <v>2</v>
      </c>
      <c r="AA150" s="2">
        <v>0</v>
      </c>
      <c r="AB150" s="2">
        <v>0</v>
      </c>
      <c r="AC150" s="2">
        <v>3</v>
      </c>
    </row>
    <row r="151" spans="1:29" x14ac:dyDescent="0.35">
      <c r="A151" s="15" t="s">
        <v>205</v>
      </c>
      <c r="B151" s="15" t="s">
        <v>206</v>
      </c>
      <c r="C151" s="18">
        <f>D151+E151+F151+G151+H151+I151</f>
        <v>71</v>
      </c>
      <c r="D151" s="16">
        <v>0</v>
      </c>
      <c r="E151" s="16">
        <v>19</v>
      </c>
      <c r="F151" s="16">
        <v>20</v>
      </c>
      <c r="G151" s="16">
        <v>16</v>
      </c>
      <c r="H151" s="16">
        <v>16</v>
      </c>
      <c r="I151" s="16">
        <v>0</v>
      </c>
      <c r="J151" s="16">
        <v>57</v>
      </c>
      <c r="K151" s="18">
        <f>J151+L151</f>
        <v>64</v>
      </c>
      <c r="L151" s="16">
        <v>7</v>
      </c>
      <c r="M151" s="16">
        <v>8</v>
      </c>
      <c r="N151" s="16">
        <f>791+18</f>
        <v>809</v>
      </c>
      <c r="O151" s="19">
        <f>N151/J151</f>
        <v>14.192982456140351</v>
      </c>
      <c r="P151" s="16">
        <v>1</v>
      </c>
      <c r="Q151" s="16">
        <v>0</v>
      </c>
      <c r="R151" s="16">
        <v>50</v>
      </c>
      <c r="S151" s="16">
        <v>284.5</v>
      </c>
      <c r="T151" s="16">
        <v>22</v>
      </c>
      <c r="U151" s="16">
        <v>43</v>
      </c>
      <c r="V151" s="16">
        <f>1248+19</f>
        <v>1267</v>
      </c>
      <c r="W151" s="19">
        <f>V151/S151</f>
        <v>4.4534270650263617</v>
      </c>
      <c r="X151" s="19">
        <f>V151/U151</f>
        <v>29.465116279069768</v>
      </c>
      <c r="Y151" s="20">
        <f>S151*6/U151</f>
        <v>39.697674418604649</v>
      </c>
      <c r="Z151" s="16" t="s">
        <v>1268</v>
      </c>
      <c r="AA151" s="16">
        <v>0</v>
      </c>
      <c r="AB151" s="16">
        <v>0</v>
      </c>
      <c r="AC151" s="16">
        <v>30</v>
      </c>
    </row>
    <row r="152" spans="1:29" x14ac:dyDescent="0.35">
      <c r="A152" s="1" t="s">
        <v>205</v>
      </c>
      <c r="B152" s="1" t="s">
        <v>31</v>
      </c>
      <c r="C152">
        <f>D152+E152+F152+G152+H152+I152</f>
        <v>89</v>
      </c>
      <c r="D152" s="2">
        <v>0</v>
      </c>
      <c r="E152" s="2">
        <v>0</v>
      </c>
      <c r="F152" s="2">
        <v>2</v>
      </c>
      <c r="G152" s="2">
        <v>11</v>
      </c>
      <c r="H152" s="2">
        <v>75</v>
      </c>
      <c r="I152" s="2">
        <v>1</v>
      </c>
      <c r="J152" s="2">
        <v>31</v>
      </c>
      <c r="K152">
        <f>J152+L152</f>
        <v>46</v>
      </c>
      <c r="L152" s="2">
        <v>15</v>
      </c>
      <c r="M152" s="2">
        <v>47</v>
      </c>
      <c r="N152" s="2">
        <v>201</v>
      </c>
      <c r="O152" s="3">
        <f>N152/J152</f>
        <v>6.4838709677419351</v>
      </c>
      <c r="P152" s="2">
        <v>0</v>
      </c>
      <c r="Q152" s="2">
        <v>0</v>
      </c>
      <c r="R152" s="2">
        <v>28</v>
      </c>
      <c r="S152" s="2">
        <v>496</v>
      </c>
      <c r="T152" s="2">
        <v>67</v>
      </c>
      <c r="U152" s="2">
        <v>105</v>
      </c>
      <c r="V152" s="2">
        <v>1713</v>
      </c>
      <c r="W152" s="3">
        <f>V152/S152</f>
        <v>3.4536290322580645</v>
      </c>
      <c r="X152" s="3">
        <f>V152/U152</f>
        <v>16.314285714285713</v>
      </c>
      <c r="Y152" s="4">
        <f>S152*6/U152</f>
        <v>28.342857142857142</v>
      </c>
      <c r="Z152" s="2">
        <v>6</v>
      </c>
      <c r="AA152" s="2">
        <v>2</v>
      </c>
      <c r="AB152" s="2">
        <v>0</v>
      </c>
      <c r="AC152" s="2">
        <v>19</v>
      </c>
    </row>
    <row r="153" spans="1:29" x14ac:dyDescent="0.35">
      <c r="A153" s="1" t="s">
        <v>207</v>
      </c>
      <c r="B153" s="1" t="s">
        <v>208</v>
      </c>
      <c r="C153">
        <f>D153+E153+F153+G153+H153+I153</f>
        <v>8</v>
      </c>
      <c r="D153" s="2">
        <v>0</v>
      </c>
      <c r="E153" s="2">
        <v>0</v>
      </c>
      <c r="F153" s="2">
        <v>0</v>
      </c>
      <c r="G153" s="2">
        <v>0</v>
      </c>
      <c r="H153" s="2">
        <v>1</v>
      </c>
      <c r="I153" s="2">
        <v>7</v>
      </c>
      <c r="J153" s="2">
        <v>4</v>
      </c>
      <c r="K153">
        <f>J153+L153</f>
        <v>5</v>
      </c>
      <c r="L153" s="2">
        <v>1</v>
      </c>
      <c r="M153" s="2">
        <v>3</v>
      </c>
      <c r="N153" s="2">
        <v>68</v>
      </c>
      <c r="O153" s="3">
        <f>N153/J153</f>
        <v>17</v>
      </c>
      <c r="P153" s="2">
        <v>1</v>
      </c>
      <c r="Q153" s="2">
        <v>0</v>
      </c>
      <c r="R153" s="2">
        <v>51</v>
      </c>
      <c r="S153" s="2">
        <v>56</v>
      </c>
      <c r="T153" s="2">
        <v>7</v>
      </c>
      <c r="U153" s="2">
        <v>9</v>
      </c>
      <c r="V153" s="2">
        <v>229</v>
      </c>
      <c r="W153" s="3">
        <f>V153/S153</f>
        <v>4.0892857142857144</v>
      </c>
      <c r="X153" s="3">
        <f>V153/U153</f>
        <v>25.444444444444443</v>
      </c>
      <c r="Y153" s="4">
        <f>S153*6/U153</f>
        <v>37.333333333333336</v>
      </c>
      <c r="Z153" s="2">
        <v>2</v>
      </c>
      <c r="AA153" s="2">
        <v>0</v>
      </c>
      <c r="AB153" s="2">
        <v>0</v>
      </c>
      <c r="AC153" s="2">
        <v>1</v>
      </c>
    </row>
    <row r="154" spans="1:29" x14ac:dyDescent="0.35">
      <c r="A154" s="1" t="s">
        <v>209</v>
      </c>
      <c r="B154" s="1" t="s">
        <v>210</v>
      </c>
      <c r="C154">
        <f>D154+E154+F154+G154+H154+I154</f>
        <v>3</v>
      </c>
      <c r="D154" s="2">
        <v>0</v>
      </c>
      <c r="E154" s="2">
        <v>0</v>
      </c>
      <c r="F154" s="2">
        <v>3</v>
      </c>
      <c r="G154" s="2">
        <v>0</v>
      </c>
      <c r="H154" s="2">
        <v>0</v>
      </c>
      <c r="I154" s="2">
        <v>0</v>
      </c>
      <c r="J154" s="2">
        <v>3</v>
      </c>
      <c r="K154">
        <f>J154+L154</f>
        <v>3</v>
      </c>
      <c r="L154" s="2">
        <v>0</v>
      </c>
      <c r="M154" s="2">
        <v>0</v>
      </c>
      <c r="N154" s="2">
        <v>13</v>
      </c>
      <c r="O154" s="3">
        <f>N154/J154</f>
        <v>4.333333333333333</v>
      </c>
      <c r="P154" s="2">
        <v>0</v>
      </c>
      <c r="Q154" s="2">
        <v>0</v>
      </c>
      <c r="R154" s="2">
        <v>11</v>
      </c>
      <c r="S154" s="2">
        <v>6</v>
      </c>
      <c r="T154" s="2">
        <v>1</v>
      </c>
      <c r="U154" s="2">
        <v>0</v>
      </c>
      <c r="V154" s="2">
        <v>39</v>
      </c>
      <c r="W154" s="3">
        <f>V154/S154</f>
        <v>6.5</v>
      </c>
      <c r="X154" s="3" t="e">
        <f>V154/U154</f>
        <v>#DIV/0!</v>
      </c>
      <c r="Y154" s="4" t="e">
        <f>S154*6/U154</f>
        <v>#DIV/0!</v>
      </c>
      <c r="Z154" s="2">
        <v>0</v>
      </c>
      <c r="AA154" s="2">
        <v>0</v>
      </c>
      <c r="AB154" s="2">
        <v>0</v>
      </c>
      <c r="AC154" s="2">
        <v>1</v>
      </c>
    </row>
    <row r="155" spans="1:29" x14ac:dyDescent="0.35">
      <c r="A155" s="1" t="s">
        <v>211</v>
      </c>
      <c r="B155" s="1" t="s">
        <v>212</v>
      </c>
      <c r="C155">
        <f>D155+E155+F155+G155+H155+I155</f>
        <v>1</v>
      </c>
      <c r="D155" s="2">
        <v>0</v>
      </c>
      <c r="E155" s="2">
        <v>1</v>
      </c>
      <c r="F155" s="2">
        <v>0</v>
      </c>
      <c r="G155" s="2">
        <v>0</v>
      </c>
      <c r="H155" s="2">
        <v>0</v>
      </c>
      <c r="I155" s="2">
        <v>0</v>
      </c>
      <c r="J155" s="2">
        <v>1</v>
      </c>
      <c r="K155">
        <f>J155+L155</f>
        <v>1</v>
      </c>
      <c r="L155" s="2">
        <v>0</v>
      </c>
      <c r="M155" s="2">
        <v>0</v>
      </c>
      <c r="N155" s="2">
        <v>33</v>
      </c>
      <c r="O155" s="3">
        <f>N155/J155</f>
        <v>33</v>
      </c>
      <c r="P155" s="2">
        <v>0</v>
      </c>
      <c r="Q155" s="2">
        <v>0</v>
      </c>
      <c r="R155" s="2">
        <v>33</v>
      </c>
      <c r="S155" s="2">
        <v>0</v>
      </c>
      <c r="T155" s="2">
        <v>0</v>
      </c>
      <c r="U155" s="2">
        <v>0</v>
      </c>
      <c r="V155" s="2">
        <v>0</v>
      </c>
      <c r="W155" s="3" t="e">
        <f>V155/S155</f>
        <v>#DIV/0!</v>
      </c>
      <c r="X155" s="3" t="e">
        <f>V155/U155</f>
        <v>#DIV/0!</v>
      </c>
      <c r="Y155" s="4" t="e">
        <f>S155*6/U155</f>
        <v>#DIV/0!</v>
      </c>
      <c r="Z155" s="2">
        <v>0</v>
      </c>
      <c r="AA155" s="2">
        <v>0</v>
      </c>
      <c r="AB155" s="2">
        <v>0</v>
      </c>
      <c r="AC155" s="2">
        <v>0</v>
      </c>
    </row>
    <row r="156" spans="1:29" x14ac:dyDescent="0.35">
      <c r="A156" s="1" t="s">
        <v>211</v>
      </c>
      <c r="B156" s="1" t="s">
        <v>213</v>
      </c>
      <c r="C156">
        <f>D156+E156+F156+G156+H156+I156</f>
        <v>1</v>
      </c>
      <c r="D156" s="2">
        <v>0</v>
      </c>
      <c r="E156" s="2">
        <v>1</v>
      </c>
      <c r="F156" s="2">
        <v>0</v>
      </c>
      <c r="G156" s="2">
        <v>0</v>
      </c>
      <c r="H156" s="2">
        <v>0</v>
      </c>
      <c r="I156" s="2">
        <v>0</v>
      </c>
      <c r="J156" s="2">
        <v>1</v>
      </c>
      <c r="K156">
        <f>J156+L156</f>
        <v>1</v>
      </c>
      <c r="L156" s="2">
        <v>0</v>
      </c>
      <c r="M156" s="2">
        <v>0</v>
      </c>
      <c r="N156" s="2">
        <v>0</v>
      </c>
      <c r="O156" s="3">
        <f>N156/J156</f>
        <v>0</v>
      </c>
      <c r="P156" s="2">
        <v>0</v>
      </c>
      <c r="Q156" s="2">
        <v>0</v>
      </c>
      <c r="R156" s="2">
        <v>0</v>
      </c>
      <c r="S156" s="2">
        <v>2</v>
      </c>
      <c r="T156" s="2">
        <v>0</v>
      </c>
      <c r="U156" s="2">
        <v>0</v>
      </c>
      <c r="V156" s="2">
        <v>9</v>
      </c>
      <c r="W156" s="3">
        <f>V156/S156</f>
        <v>4.5</v>
      </c>
      <c r="X156" s="3" t="e">
        <f>V156/U156</f>
        <v>#DIV/0!</v>
      </c>
      <c r="Y156" s="4" t="e">
        <f>S156*6/U156</f>
        <v>#DIV/0!</v>
      </c>
      <c r="Z156" s="2">
        <v>0</v>
      </c>
      <c r="AA156" s="2">
        <v>0</v>
      </c>
      <c r="AB156" s="2">
        <v>0</v>
      </c>
      <c r="AC156" s="2">
        <v>0</v>
      </c>
    </row>
    <row r="157" spans="1:29" x14ac:dyDescent="0.35">
      <c r="A157" s="1" t="s">
        <v>214</v>
      </c>
      <c r="B157" s="1" t="s">
        <v>215</v>
      </c>
      <c r="C157">
        <f>D157+E157+F157+G157+H157+I157</f>
        <v>14</v>
      </c>
      <c r="D157" s="2">
        <v>0</v>
      </c>
      <c r="E157" s="2">
        <v>4</v>
      </c>
      <c r="F157" s="2">
        <v>10</v>
      </c>
      <c r="G157" s="2">
        <v>0</v>
      </c>
      <c r="H157" s="2">
        <v>0</v>
      </c>
      <c r="I157" s="2">
        <v>0</v>
      </c>
      <c r="J157" s="2">
        <v>27</v>
      </c>
      <c r="K157">
        <f>J157+L157</f>
        <v>30</v>
      </c>
      <c r="L157" s="2">
        <v>3</v>
      </c>
      <c r="M157" s="2">
        <v>2</v>
      </c>
      <c r="N157" s="2">
        <v>375</v>
      </c>
      <c r="O157" s="3">
        <f>N157/J157</f>
        <v>13.888888888888889</v>
      </c>
      <c r="P157" s="2">
        <v>1</v>
      </c>
      <c r="Q157" s="2">
        <v>0</v>
      </c>
      <c r="R157" s="2">
        <v>88</v>
      </c>
      <c r="S157" s="2">
        <v>122</v>
      </c>
      <c r="T157" s="2">
        <v>16</v>
      </c>
      <c r="U157" s="2">
        <v>12</v>
      </c>
      <c r="V157" s="2">
        <v>467</v>
      </c>
      <c r="W157" s="3">
        <f>V157/S157</f>
        <v>3.8278688524590163</v>
      </c>
      <c r="X157" s="3">
        <f>V157/U157</f>
        <v>38.916666666666664</v>
      </c>
      <c r="Y157" s="4">
        <f>S157*6/U157</f>
        <v>61</v>
      </c>
      <c r="Z157" s="2">
        <v>6</v>
      </c>
      <c r="AA157" s="2">
        <v>1</v>
      </c>
      <c r="AB157" s="2">
        <v>0</v>
      </c>
      <c r="AC157" s="2">
        <v>21</v>
      </c>
    </row>
    <row r="158" spans="1:29" x14ac:dyDescent="0.35">
      <c r="A158" s="1" t="s">
        <v>216</v>
      </c>
      <c r="B158" s="1" t="s">
        <v>62</v>
      </c>
      <c r="C158">
        <f>D158+E158+F158+G158+H158+I158</f>
        <v>5</v>
      </c>
      <c r="D158" s="2">
        <v>5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5</v>
      </c>
      <c r="K158">
        <f>J158+L158</f>
        <v>5</v>
      </c>
      <c r="L158" s="2">
        <v>0</v>
      </c>
      <c r="M158" s="2">
        <v>0</v>
      </c>
      <c r="N158" s="2">
        <v>133</v>
      </c>
      <c r="O158" s="3">
        <f>N158/J158</f>
        <v>26.6</v>
      </c>
      <c r="P158" s="2">
        <v>1</v>
      </c>
      <c r="Q158" s="2">
        <v>0</v>
      </c>
      <c r="R158" s="2">
        <v>99</v>
      </c>
      <c r="S158" s="2">
        <v>0</v>
      </c>
      <c r="T158" s="2">
        <v>0</v>
      </c>
      <c r="U158" s="2">
        <v>0</v>
      </c>
      <c r="V158" s="2">
        <v>0</v>
      </c>
      <c r="W158" s="3" t="e">
        <f>V158/S158</f>
        <v>#DIV/0!</v>
      </c>
      <c r="X158" s="3" t="e">
        <f>V158/U158</f>
        <v>#DIV/0!</v>
      </c>
      <c r="Y158" s="4" t="e">
        <f>S158*6/U158</f>
        <v>#DIV/0!</v>
      </c>
      <c r="Z158" s="2">
        <v>0</v>
      </c>
      <c r="AA158" s="2">
        <v>0</v>
      </c>
      <c r="AB158" s="2">
        <v>0</v>
      </c>
      <c r="AC158" s="2">
        <v>3</v>
      </c>
    </row>
    <row r="159" spans="1:29" x14ac:dyDescent="0.35">
      <c r="A159" t="s">
        <v>1452</v>
      </c>
      <c r="B159" t="s">
        <v>1453</v>
      </c>
      <c r="C159">
        <f>D159+E159+F159+G159+H159+I159</f>
        <v>1</v>
      </c>
      <c r="D159" s="5">
        <v>0</v>
      </c>
      <c r="E159" s="5">
        <v>0</v>
      </c>
      <c r="F159" s="5">
        <v>0</v>
      </c>
      <c r="G159" s="5">
        <v>0</v>
      </c>
      <c r="H159" s="5">
        <v>1</v>
      </c>
      <c r="I159" s="5">
        <v>0</v>
      </c>
      <c r="J159" s="5">
        <v>1</v>
      </c>
      <c r="K159">
        <f>J159+L159</f>
        <v>1</v>
      </c>
      <c r="L159" s="5">
        <v>0</v>
      </c>
      <c r="M159" s="5">
        <v>0</v>
      </c>
      <c r="N159" s="5">
        <v>1</v>
      </c>
      <c r="O159" s="3">
        <f>N159/J159</f>
        <v>1</v>
      </c>
      <c r="P159" s="5">
        <v>0</v>
      </c>
      <c r="Q159" s="5">
        <v>0</v>
      </c>
      <c r="R159" s="5">
        <v>1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 s="35">
        <v>0</v>
      </c>
      <c r="AC159" s="5">
        <v>0</v>
      </c>
    </row>
    <row r="160" spans="1:29" x14ac:dyDescent="0.35">
      <c r="A160" s="1" t="s">
        <v>217</v>
      </c>
      <c r="B160" s="1" t="s">
        <v>125</v>
      </c>
      <c r="C160">
        <f>D160+E160+F160+G160+H160+I160</f>
        <v>6</v>
      </c>
      <c r="D160" s="2">
        <v>0</v>
      </c>
      <c r="E160" s="2">
        <v>0</v>
      </c>
      <c r="F160" s="2">
        <v>0</v>
      </c>
      <c r="G160" s="2">
        <v>0</v>
      </c>
      <c r="H160" s="2">
        <v>6</v>
      </c>
      <c r="I160" s="2">
        <v>0</v>
      </c>
      <c r="J160" s="2">
        <v>4</v>
      </c>
      <c r="K160">
        <f>J160+L160</f>
        <v>4</v>
      </c>
      <c r="L160" s="2">
        <v>0</v>
      </c>
      <c r="M160" s="2">
        <v>1</v>
      </c>
      <c r="N160" s="2">
        <v>39</v>
      </c>
      <c r="O160" s="3">
        <f>N160/J160</f>
        <v>9.75</v>
      </c>
      <c r="P160" s="2">
        <v>0</v>
      </c>
      <c r="Q160" s="2">
        <v>0</v>
      </c>
      <c r="R160" s="2">
        <v>21</v>
      </c>
      <c r="S160" s="2">
        <v>40</v>
      </c>
      <c r="T160" s="2">
        <v>5</v>
      </c>
      <c r="U160" s="2">
        <v>6</v>
      </c>
      <c r="V160" s="2">
        <v>123</v>
      </c>
      <c r="W160" s="3">
        <f>V160/S160</f>
        <v>3.0750000000000002</v>
      </c>
      <c r="X160" s="3">
        <f>V160/U160</f>
        <v>20.5</v>
      </c>
      <c r="Y160" s="4">
        <f>S160*6/U160</f>
        <v>40</v>
      </c>
      <c r="Z160" s="2">
        <v>4</v>
      </c>
      <c r="AA160" s="2">
        <v>0</v>
      </c>
      <c r="AB160" s="2">
        <v>0</v>
      </c>
      <c r="AC160" s="2">
        <v>3</v>
      </c>
    </row>
    <row r="161" spans="1:29" x14ac:dyDescent="0.35">
      <c r="A161" s="1" t="s">
        <v>218</v>
      </c>
      <c r="B161" s="1" t="s">
        <v>219</v>
      </c>
      <c r="C161">
        <f>D161+E161+F161+G161+H161+I161</f>
        <v>25</v>
      </c>
      <c r="D161" s="2">
        <v>0</v>
      </c>
      <c r="E161" s="2">
        <v>11</v>
      </c>
      <c r="F161" s="2">
        <v>13</v>
      </c>
      <c r="G161" s="2">
        <v>1</v>
      </c>
      <c r="H161" s="2">
        <v>0</v>
      </c>
      <c r="I161" s="2">
        <v>0</v>
      </c>
      <c r="J161" s="2">
        <v>37</v>
      </c>
      <c r="K161">
        <f>J161+L161</f>
        <v>53</v>
      </c>
      <c r="L161" s="2">
        <v>16</v>
      </c>
      <c r="M161" s="2">
        <v>16</v>
      </c>
      <c r="N161" s="2">
        <v>417</v>
      </c>
      <c r="O161" s="3">
        <f>N161/J161</f>
        <v>11.27027027027027</v>
      </c>
      <c r="P161" s="2">
        <v>1</v>
      </c>
      <c r="Q161" s="2">
        <v>0</v>
      </c>
      <c r="R161" s="2">
        <v>68</v>
      </c>
      <c r="S161" s="2">
        <v>634</v>
      </c>
      <c r="T161" s="2">
        <v>148</v>
      </c>
      <c r="U161" s="2">
        <v>100</v>
      </c>
      <c r="V161" s="2">
        <v>1856</v>
      </c>
      <c r="W161" s="3">
        <f>V161/S161</f>
        <v>2.9274447949526814</v>
      </c>
      <c r="X161" s="3">
        <f>V161/U161</f>
        <v>18.559999999999999</v>
      </c>
      <c r="Y161" s="4">
        <f>S161*6/U161</f>
        <v>38.04</v>
      </c>
      <c r="Z161" s="2">
        <v>6</v>
      </c>
      <c r="AA161" s="2">
        <v>4</v>
      </c>
      <c r="AB161" s="2">
        <v>1</v>
      </c>
      <c r="AC161" s="2">
        <v>25</v>
      </c>
    </row>
    <row r="162" spans="1:29" x14ac:dyDescent="0.35">
      <c r="A162" s="1" t="s">
        <v>218</v>
      </c>
      <c r="B162" s="1" t="s">
        <v>220</v>
      </c>
      <c r="C162">
        <f>D162+E162+F162+G162+H162+I162</f>
        <v>2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2</v>
      </c>
      <c r="J162" s="2">
        <v>2</v>
      </c>
      <c r="K162">
        <f>J162+L162</f>
        <v>2</v>
      </c>
      <c r="L162" s="2">
        <v>0</v>
      </c>
      <c r="M162" s="2">
        <v>0</v>
      </c>
      <c r="N162" s="2">
        <v>23</v>
      </c>
      <c r="O162" s="3">
        <f>N162/J162</f>
        <v>11.5</v>
      </c>
      <c r="P162" s="2">
        <v>0</v>
      </c>
      <c r="Q162" s="2">
        <v>0</v>
      </c>
      <c r="R162" s="2">
        <v>15</v>
      </c>
      <c r="S162" s="2">
        <v>5</v>
      </c>
      <c r="T162" s="2">
        <v>0</v>
      </c>
      <c r="U162" s="2">
        <v>1</v>
      </c>
      <c r="V162" s="2">
        <v>68</v>
      </c>
      <c r="W162" s="3">
        <f>V162/S162</f>
        <v>13.6</v>
      </c>
      <c r="X162" s="3">
        <f>V162/U162</f>
        <v>68</v>
      </c>
      <c r="Y162" s="4">
        <f>S162*6/U162</f>
        <v>30</v>
      </c>
      <c r="Z162" s="2">
        <v>1</v>
      </c>
      <c r="AA162" s="2">
        <v>0</v>
      </c>
      <c r="AB162" s="2">
        <v>0</v>
      </c>
      <c r="AC162" s="2">
        <v>1</v>
      </c>
    </row>
    <row r="163" spans="1:29" x14ac:dyDescent="0.35">
      <c r="A163" s="1" t="s">
        <v>221</v>
      </c>
      <c r="B163" s="1" t="s">
        <v>222</v>
      </c>
      <c r="C163">
        <f>D163+E163+F163+G163+H163+I163</f>
        <v>66</v>
      </c>
      <c r="D163" s="2">
        <v>0</v>
      </c>
      <c r="E163" s="2">
        <v>35</v>
      </c>
      <c r="F163" s="2">
        <v>15</v>
      </c>
      <c r="G163" s="2">
        <v>13</v>
      </c>
      <c r="H163" s="2">
        <v>2</v>
      </c>
      <c r="I163" s="2">
        <v>1</v>
      </c>
      <c r="J163" s="2">
        <v>56</v>
      </c>
      <c r="K163">
        <f>J163+L163</f>
        <v>87</v>
      </c>
      <c r="L163" s="2">
        <v>31</v>
      </c>
      <c r="M163" s="2">
        <v>39</v>
      </c>
      <c r="N163" s="2">
        <v>1120</v>
      </c>
      <c r="O163" s="3">
        <f>N163/J163</f>
        <v>20</v>
      </c>
      <c r="P163" s="2">
        <v>4</v>
      </c>
      <c r="Q163" s="2">
        <v>0</v>
      </c>
      <c r="R163" s="2">
        <v>94</v>
      </c>
      <c r="S163" s="2">
        <v>1571</v>
      </c>
      <c r="T163" s="2">
        <v>372</v>
      </c>
      <c r="U163" s="2">
        <v>269</v>
      </c>
      <c r="V163" s="2">
        <v>4149</v>
      </c>
      <c r="W163" s="3">
        <f>V163/S163</f>
        <v>2.6409929980903883</v>
      </c>
      <c r="X163" s="3">
        <f>V163/U163</f>
        <v>15.423791821561338</v>
      </c>
      <c r="Y163" s="4">
        <f>S163*6/U163</f>
        <v>35.040892193308551</v>
      </c>
      <c r="Z163" s="2">
        <v>7</v>
      </c>
      <c r="AA163" s="2">
        <v>14</v>
      </c>
      <c r="AB163" s="2">
        <v>0</v>
      </c>
      <c r="AC163" s="2">
        <v>28</v>
      </c>
    </row>
    <row r="164" spans="1:29" x14ac:dyDescent="0.35">
      <c r="A164" s="26" t="s">
        <v>221</v>
      </c>
      <c r="B164" s="37" t="s">
        <v>589</v>
      </c>
      <c r="C164" s="18">
        <f>D164+E164+F164+G164+H164+I164</f>
        <v>17</v>
      </c>
      <c r="D164" s="21">
        <v>0</v>
      </c>
      <c r="E164" s="21">
        <v>0</v>
      </c>
      <c r="F164" s="21">
        <v>0</v>
      </c>
      <c r="G164" s="21">
        <v>2</v>
      </c>
      <c r="H164" s="21">
        <v>11</v>
      </c>
      <c r="I164" s="21">
        <v>4</v>
      </c>
      <c r="J164" s="21">
        <v>15</v>
      </c>
      <c r="K164" s="18">
        <f>J164+L164</f>
        <v>17</v>
      </c>
      <c r="L164" s="21">
        <v>2</v>
      </c>
      <c r="M164" s="21">
        <v>0</v>
      </c>
      <c r="N164" s="21">
        <v>580</v>
      </c>
      <c r="O164" s="19">
        <f>N164/J164</f>
        <v>38.666666666666664</v>
      </c>
      <c r="P164" s="21">
        <v>3</v>
      </c>
      <c r="Q164" s="21">
        <v>1</v>
      </c>
      <c r="R164" s="21" t="s">
        <v>1351</v>
      </c>
      <c r="S164" s="37">
        <v>82.2</v>
      </c>
      <c r="T164" s="37">
        <v>5</v>
      </c>
      <c r="U164" s="37">
        <f>11+14</f>
        <v>25</v>
      </c>
      <c r="V164" s="37">
        <f>359+58</f>
        <v>417</v>
      </c>
      <c r="W164" s="19">
        <f>V164/S164</f>
        <v>5.0729927007299267</v>
      </c>
      <c r="X164" s="19">
        <f>V164/U164</f>
        <v>16.68</v>
      </c>
      <c r="Y164" s="19">
        <f>162/U164</f>
        <v>6.48</v>
      </c>
      <c r="Z164" s="37" t="s">
        <v>1210</v>
      </c>
      <c r="AA164" s="37">
        <v>0</v>
      </c>
      <c r="AB164" s="37">
        <v>0</v>
      </c>
      <c r="AC164" s="46">
        <v>11</v>
      </c>
    </row>
    <row r="165" spans="1:29" x14ac:dyDescent="0.35">
      <c r="A165" s="7" t="s">
        <v>221</v>
      </c>
      <c r="B165" s="38" t="s">
        <v>829</v>
      </c>
      <c r="C165">
        <v>1</v>
      </c>
      <c r="D165" s="40">
        <v>0</v>
      </c>
      <c r="E165" s="40">
        <v>0</v>
      </c>
      <c r="F165" s="40">
        <v>0</v>
      </c>
      <c r="G165" s="40">
        <v>0</v>
      </c>
      <c r="H165" s="40">
        <v>0</v>
      </c>
      <c r="I165" s="40">
        <v>1</v>
      </c>
      <c r="J165" s="40">
        <v>0</v>
      </c>
      <c r="K165" s="6">
        <v>1</v>
      </c>
      <c r="L165" s="40">
        <v>1</v>
      </c>
      <c r="M165" s="40">
        <v>0</v>
      </c>
      <c r="N165" s="40">
        <v>1</v>
      </c>
      <c r="O165" s="3" t="e">
        <f>N165/J165</f>
        <v>#DIV/0!</v>
      </c>
      <c r="P165" s="40">
        <v>0</v>
      </c>
      <c r="Q165" s="40">
        <v>0</v>
      </c>
      <c r="R165" s="35" t="s">
        <v>1273</v>
      </c>
      <c r="S165" s="40">
        <v>0</v>
      </c>
      <c r="T165" s="40">
        <v>0</v>
      </c>
      <c r="U165" s="40">
        <v>0</v>
      </c>
      <c r="V165" s="40">
        <v>0</v>
      </c>
      <c r="W165" s="6">
        <v>0</v>
      </c>
      <c r="X165" s="6">
        <v>0</v>
      </c>
      <c r="Y165" s="6">
        <v>0</v>
      </c>
      <c r="Z165" s="40">
        <v>0</v>
      </c>
      <c r="AA165" s="40">
        <v>0</v>
      </c>
      <c r="AB165" s="40">
        <v>0</v>
      </c>
      <c r="AC165" s="40">
        <v>0</v>
      </c>
    </row>
    <row r="166" spans="1:29" x14ac:dyDescent="0.35">
      <c r="A166" s="1" t="s">
        <v>223</v>
      </c>
      <c r="B166" s="1" t="s">
        <v>224</v>
      </c>
      <c r="C166">
        <f>D166+E166+F166+G166+H166+I166</f>
        <v>2</v>
      </c>
      <c r="D166" s="2">
        <v>2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2</v>
      </c>
      <c r="K166">
        <f>J166+L166</f>
        <v>2</v>
      </c>
      <c r="L166" s="2">
        <v>0</v>
      </c>
      <c r="M166" s="2">
        <v>0</v>
      </c>
      <c r="N166" s="2">
        <v>106</v>
      </c>
      <c r="O166" s="3">
        <f>N166/J166</f>
        <v>53</v>
      </c>
      <c r="P166" s="2">
        <v>1</v>
      </c>
      <c r="Q166" s="2">
        <v>0</v>
      </c>
      <c r="R166" s="2">
        <v>64</v>
      </c>
      <c r="S166" s="2">
        <v>15</v>
      </c>
      <c r="T166" s="2">
        <v>5</v>
      </c>
      <c r="U166" s="2">
        <v>3</v>
      </c>
      <c r="V166" s="2">
        <v>57</v>
      </c>
      <c r="W166" s="3">
        <f>V166/S166</f>
        <v>3.8</v>
      </c>
      <c r="X166" s="3">
        <f>V166/U166</f>
        <v>19</v>
      </c>
      <c r="Y166" s="4">
        <f>S166*6/U166</f>
        <v>30</v>
      </c>
      <c r="Z166" s="2">
        <v>2</v>
      </c>
      <c r="AA166" s="2">
        <v>0</v>
      </c>
      <c r="AB166" s="2">
        <v>0</v>
      </c>
      <c r="AC166" s="2">
        <v>0</v>
      </c>
    </row>
    <row r="167" spans="1:29" x14ac:dyDescent="0.35">
      <c r="A167" s="1" t="s">
        <v>225</v>
      </c>
      <c r="B167" s="1" t="s">
        <v>226</v>
      </c>
      <c r="C167">
        <f>D167+E167+F167+G167+H167+I167</f>
        <v>3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3</v>
      </c>
      <c r="J167" s="2">
        <v>1</v>
      </c>
      <c r="K167">
        <f>J167+L167</f>
        <v>1</v>
      </c>
      <c r="L167" s="2">
        <v>0</v>
      </c>
      <c r="M167" s="2">
        <v>2</v>
      </c>
      <c r="N167" s="2">
        <v>18</v>
      </c>
      <c r="O167" s="3">
        <f>N167/J167</f>
        <v>18</v>
      </c>
      <c r="P167" s="2">
        <v>0</v>
      </c>
      <c r="Q167" s="2">
        <v>0</v>
      </c>
      <c r="R167" s="2">
        <v>18</v>
      </c>
      <c r="S167" s="2">
        <v>0</v>
      </c>
      <c r="T167" s="2">
        <v>0</v>
      </c>
      <c r="U167" s="2">
        <v>0</v>
      </c>
      <c r="V167" s="2">
        <v>0</v>
      </c>
      <c r="W167" s="3" t="e">
        <f>V167/S167</f>
        <v>#DIV/0!</v>
      </c>
      <c r="X167" s="3" t="e">
        <f>V167/U167</f>
        <v>#DIV/0!</v>
      </c>
      <c r="Y167" s="4" t="e">
        <f>S167*6/U167</f>
        <v>#DIV/0!</v>
      </c>
      <c r="Z167" s="2">
        <v>0</v>
      </c>
      <c r="AA167" s="2">
        <v>0</v>
      </c>
      <c r="AB167" s="2">
        <v>0</v>
      </c>
      <c r="AC167" s="2">
        <v>0</v>
      </c>
    </row>
    <row r="168" spans="1:29" x14ac:dyDescent="0.35">
      <c r="A168" s="1" t="s">
        <v>227</v>
      </c>
      <c r="B168" s="1" t="s">
        <v>85</v>
      </c>
      <c r="C168">
        <f>D168+E168+F168+G168+H168+I168</f>
        <v>23</v>
      </c>
      <c r="D168" s="2">
        <v>0</v>
      </c>
      <c r="E168" s="2">
        <v>0</v>
      </c>
      <c r="F168" s="2">
        <v>0</v>
      </c>
      <c r="G168" s="2">
        <v>2</v>
      </c>
      <c r="H168" s="2">
        <v>5</v>
      </c>
      <c r="I168" s="2">
        <v>16</v>
      </c>
      <c r="J168" s="2">
        <v>11</v>
      </c>
      <c r="K168">
        <f>J168+L168</f>
        <v>15</v>
      </c>
      <c r="L168" s="2">
        <v>4</v>
      </c>
      <c r="M168" s="2">
        <v>9</v>
      </c>
      <c r="N168" s="2">
        <v>213</v>
      </c>
      <c r="O168" s="3">
        <f>N168/J168</f>
        <v>19.363636363636363</v>
      </c>
      <c r="P168" s="2">
        <v>1</v>
      </c>
      <c r="Q168" s="2">
        <v>0</v>
      </c>
      <c r="R168" s="2">
        <v>68</v>
      </c>
      <c r="S168" s="2">
        <v>67</v>
      </c>
      <c r="T168" s="2">
        <v>8</v>
      </c>
      <c r="U168" s="2">
        <v>15</v>
      </c>
      <c r="V168" s="2">
        <v>266</v>
      </c>
      <c r="W168" s="3">
        <f>V168/S168</f>
        <v>3.9701492537313432</v>
      </c>
      <c r="X168" s="3">
        <f>V168/U168</f>
        <v>17.733333333333334</v>
      </c>
      <c r="Y168" s="4">
        <f>S168*6/U168</f>
        <v>26.8</v>
      </c>
      <c r="Z168" s="2">
        <v>4</v>
      </c>
      <c r="AA168" s="2">
        <v>0</v>
      </c>
      <c r="AB168" s="2">
        <v>0</v>
      </c>
      <c r="AC168" s="2">
        <v>3</v>
      </c>
    </row>
    <row r="169" spans="1:29" x14ac:dyDescent="0.35">
      <c r="A169" s="1" t="s">
        <v>228</v>
      </c>
      <c r="B169" s="1" t="s">
        <v>229</v>
      </c>
      <c r="C169">
        <f>D169+E169+F169+G169+H169+I169</f>
        <v>1</v>
      </c>
      <c r="D169" s="2">
        <v>0</v>
      </c>
      <c r="E169" s="2">
        <v>0</v>
      </c>
      <c r="F169" s="2">
        <v>0</v>
      </c>
      <c r="G169" s="2">
        <v>0</v>
      </c>
      <c r="H169" s="2">
        <v>1</v>
      </c>
      <c r="I169" s="2">
        <v>0</v>
      </c>
      <c r="J169" s="2">
        <v>1</v>
      </c>
      <c r="K169">
        <f>J169+L169</f>
        <v>1</v>
      </c>
      <c r="L169" s="2">
        <v>0</v>
      </c>
      <c r="M169" s="2">
        <v>0</v>
      </c>
      <c r="N169" s="2">
        <v>3</v>
      </c>
      <c r="O169" s="3">
        <f>N169/J169</f>
        <v>3</v>
      </c>
      <c r="P169" s="2">
        <v>0</v>
      </c>
      <c r="Q169" s="2">
        <v>0</v>
      </c>
      <c r="R169" s="2">
        <v>3</v>
      </c>
      <c r="S169" s="2">
        <v>4</v>
      </c>
      <c r="T169" s="2">
        <v>0</v>
      </c>
      <c r="U169" s="2">
        <v>0</v>
      </c>
      <c r="V169" s="2">
        <v>17</v>
      </c>
      <c r="W169" s="3">
        <f>V169/S169</f>
        <v>4.25</v>
      </c>
      <c r="X169" s="3" t="e">
        <f>V169/U169</f>
        <v>#DIV/0!</v>
      </c>
      <c r="Y169" s="4" t="e">
        <f>S169*6/U169</f>
        <v>#DIV/0!</v>
      </c>
      <c r="Z169" s="2">
        <v>0</v>
      </c>
      <c r="AA169" s="2">
        <v>0</v>
      </c>
      <c r="AB169" s="2">
        <v>0</v>
      </c>
      <c r="AC169" s="2">
        <v>0</v>
      </c>
    </row>
    <row r="170" spans="1:29" x14ac:dyDescent="0.35">
      <c r="A170" s="1" t="s">
        <v>230</v>
      </c>
      <c r="B170" s="1" t="s">
        <v>20</v>
      </c>
      <c r="C170">
        <f>D170+E170+F170+G170+H170+I170</f>
        <v>4</v>
      </c>
      <c r="D170" s="2">
        <v>0</v>
      </c>
      <c r="E170" s="2">
        <v>0</v>
      </c>
      <c r="F170" s="2">
        <v>2</v>
      </c>
      <c r="G170" s="2">
        <v>2</v>
      </c>
      <c r="H170" s="2">
        <v>0</v>
      </c>
      <c r="I170" s="2">
        <v>0</v>
      </c>
      <c r="J170" s="2">
        <v>2</v>
      </c>
      <c r="K170">
        <f>J170+L170</f>
        <v>2</v>
      </c>
      <c r="L170" s="2">
        <v>0</v>
      </c>
      <c r="M170" s="2">
        <v>2</v>
      </c>
      <c r="N170" s="2">
        <v>5</v>
      </c>
      <c r="O170" s="3">
        <f>N170/J170</f>
        <v>2.5</v>
      </c>
      <c r="P170" s="2">
        <v>0</v>
      </c>
      <c r="Q170" s="2">
        <v>0</v>
      </c>
      <c r="R170" s="2">
        <v>5</v>
      </c>
      <c r="S170" s="2">
        <v>28</v>
      </c>
      <c r="T170" s="2">
        <v>2</v>
      </c>
      <c r="U170" s="2">
        <v>4</v>
      </c>
      <c r="V170" s="2">
        <v>114</v>
      </c>
      <c r="W170" s="3">
        <f>V170/S170</f>
        <v>4.0714285714285712</v>
      </c>
      <c r="X170" s="3">
        <f>V170/U170</f>
        <v>28.5</v>
      </c>
      <c r="Y170" s="4">
        <f>S170*6/U170</f>
        <v>42</v>
      </c>
      <c r="Z170" s="2">
        <v>2</v>
      </c>
      <c r="AA170" s="2">
        <v>0</v>
      </c>
      <c r="AB170" s="2">
        <v>0</v>
      </c>
      <c r="AC170" s="2">
        <v>0</v>
      </c>
    </row>
    <row r="171" spans="1:29" x14ac:dyDescent="0.35">
      <c r="A171" s="1" t="s">
        <v>231</v>
      </c>
      <c r="B171" s="1" t="s">
        <v>20</v>
      </c>
      <c r="C171">
        <f>D171+E171+F171+G171+H171+I171</f>
        <v>3</v>
      </c>
      <c r="D171" s="2">
        <v>0</v>
      </c>
      <c r="E171" s="2">
        <v>0</v>
      </c>
      <c r="F171" s="2">
        <v>0</v>
      </c>
      <c r="G171" s="2">
        <v>2</v>
      </c>
      <c r="H171" s="2">
        <v>0</v>
      </c>
      <c r="I171" s="2">
        <v>1</v>
      </c>
      <c r="J171" s="2">
        <v>1</v>
      </c>
      <c r="K171">
        <f>J171+L171</f>
        <v>1</v>
      </c>
      <c r="L171" s="2">
        <v>0</v>
      </c>
      <c r="M171" s="2">
        <v>2</v>
      </c>
      <c r="N171" s="2">
        <v>0</v>
      </c>
      <c r="O171" s="3">
        <f>N171/J171</f>
        <v>0</v>
      </c>
      <c r="P171" s="2">
        <v>0</v>
      </c>
      <c r="Q171" s="2">
        <v>0</v>
      </c>
      <c r="R171" s="2">
        <v>0</v>
      </c>
      <c r="S171" s="2">
        <v>8</v>
      </c>
      <c r="T171" s="2">
        <v>0</v>
      </c>
      <c r="U171" s="2">
        <v>2</v>
      </c>
      <c r="V171" s="2">
        <v>60</v>
      </c>
      <c r="W171" s="3">
        <f>V171/S171</f>
        <v>7.5</v>
      </c>
      <c r="X171" s="3">
        <f>V171/U171</f>
        <v>30</v>
      </c>
      <c r="Y171" s="4">
        <f>S171*6/U171</f>
        <v>24</v>
      </c>
      <c r="Z171" s="2">
        <v>2</v>
      </c>
      <c r="AA171" s="2">
        <v>0</v>
      </c>
      <c r="AB171" s="2">
        <v>0</v>
      </c>
      <c r="AC171" s="2">
        <v>0</v>
      </c>
    </row>
    <row r="172" spans="1:29" x14ac:dyDescent="0.35">
      <c r="A172" s="1" t="s">
        <v>232</v>
      </c>
      <c r="B172" s="1" t="s">
        <v>110</v>
      </c>
      <c r="C172">
        <f>D172+E172+F172+G172+H172+I172</f>
        <v>5</v>
      </c>
      <c r="D172" s="2">
        <v>0</v>
      </c>
      <c r="E172" s="2">
        <v>0</v>
      </c>
      <c r="F172" s="2">
        <v>1</v>
      </c>
      <c r="G172" s="2">
        <v>3</v>
      </c>
      <c r="H172" s="2">
        <v>1</v>
      </c>
      <c r="I172" s="2">
        <v>0</v>
      </c>
      <c r="J172" s="2">
        <v>2</v>
      </c>
      <c r="K172">
        <f>J172+L172</f>
        <v>4</v>
      </c>
      <c r="L172" s="2">
        <v>2</v>
      </c>
      <c r="M172" s="2">
        <v>1</v>
      </c>
      <c r="N172" s="2">
        <v>2</v>
      </c>
      <c r="O172" s="3">
        <f>N172/J172</f>
        <v>1</v>
      </c>
      <c r="P172" s="2">
        <v>0</v>
      </c>
      <c r="Q172" s="2">
        <v>0</v>
      </c>
      <c r="R172" s="2">
        <v>1</v>
      </c>
      <c r="S172" s="2">
        <v>1</v>
      </c>
      <c r="T172" s="2">
        <v>0</v>
      </c>
      <c r="U172" s="2">
        <v>0</v>
      </c>
      <c r="V172" s="2">
        <v>4</v>
      </c>
      <c r="W172" s="3">
        <f>V172/S172</f>
        <v>4</v>
      </c>
      <c r="X172" s="3" t="e">
        <f>V172/U172</f>
        <v>#DIV/0!</v>
      </c>
      <c r="Y172" s="4" t="e">
        <f>S172*6/U172</f>
        <v>#DIV/0!</v>
      </c>
      <c r="Z172" s="2">
        <v>0</v>
      </c>
      <c r="AA172" s="2">
        <v>0</v>
      </c>
      <c r="AB172" s="2">
        <v>0</v>
      </c>
      <c r="AC172" s="2">
        <v>0</v>
      </c>
    </row>
    <row r="173" spans="1:29" x14ac:dyDescent="0.35">
      <c r="A173" s="1" t="s">
        <v>233</v>
      </c>
      <c r="B173" s="1" t="s">
        <v>234</v>
      </c>
      <c r="C173">
        <f>D173+E173+F173+G173+H173+I173</f>
        <v>1</v>
      </c>
      <c r="D173" s="2">
        <v>0</v>
      </c>
      <c r="E173" s="2">
        <v>0</v>
      </c>
      <c r="F173" s="2">
        <v>0</v>
      </c>
      <c r="G173" s="2">
        <v>1</v>
      </c>
      <c r="H173" s="2">
        <v>0</v>
      </c>
      <c r="I173" s="2">
        <v>0</v>
      </c>
      <c r="J173" s="2">
        <v>1</v>
      </c>
      <c r="K173">
        <f>J173+L173</f>
        <v>1</v>
      </c>
      <c r="L173" s="2">
        <v>0</v>
      </c>
      <c r="M173" s="2">
        <v>0</v>
      </c>
      <c r="N173" s="2">
        <v>1</v>
      </c>
      <c r="O173" s="3">
        <f>N173/J173</f>
        <v>1</v>
      </c>
      <c r="P173" s="2">
        <v>0</v>
      </c>
      <c r="Q173" s="2">
        <v>0</v>
      </c>
      <c r="R173" s="2">
        <v>1</v>
      </c>
      <c r="S173" s="2">
        <v>1</v>
      </c>
      <c r="T173" s="2">
        <v>0</v>
      </c>
      <c r="U173" s="2">
        <v>0</v>
      </c>
      <c r="V173" s="2">
        <v>7</v>
      </c>
      <c r="W173" s="3">
        <f>V173/S173</f>
        <v>7</v>
      </c>
      <c r="X173" s="3" t="e">
        <f>V173/U173</f>
        <v>#DIV/0!</v>
      </c>
      <c r="Y173" s="4" t="e">
        <f>S173*6/U173</f>
        <v>#DIV/0!</v>
      </c>
      <c r="Z173" s="2">
        <v>0</v>
      </c>
      <c r="AA173" s="2">
        <v>0</v>
      </c>
      <c r="AB173" s="2">
        <v>0</v>
      </c>
      <c r="AC173" s="2">
        <v>0</v>
      </c>
    </row>
    <row r="174" spans="1:29" x14ac:dyDescent="0.35">
      <c r="A174" s="1" t="s">
        <v>235</v>
      </c>
      <c r="B174" s="1" t="s">
        <v>236</v>
      </c>
      <c r="C174">
        <f>D174+E174+F174+G174+H174+I174</f>
        <v>20</v>
      </c>
      <c r="D174" s="2">
        <v>0</v>
      </c>
      <c r="E174" s="2">
        <v>1</v>
      </c>
      <c r="F174" s="2">
        <v>1</v>
      </c>
      <c r="G174" s="2">
        <v>18</v>
      </c>
      <c r="H174" s="2">
        <v>0</v>
      </c>
      <c r="I174" s="2">
        <v>0</v>
      </c>
      <c r="J174" s="2">
        <v>18</v>
      </c>
      <c r="K174">
        <f>J174+L174</f>
        <v>19</v>
      </c>
      <c r="L174" s="2">
        <v>1</v>
      </c>
      <c r="M174" s="2">
        <v>1</v>
      </c>
      <c r="N174" s="2">
        <v>295</v>
      </c>
      <c r="O174" s="3">
        <f>N174/J174</f>
        <v>16.388888888888889</v>
      </c>
      <c r="P174" s="2">
        <v>0</v>
      </c>
      <c r="Q174" s="2">
        <v>0</v>
      </c>
      <c r="R174" s="2">
        <v>43</v>
      </c>
      <c r="S174" s="2">
        <v>110</v>
      </c>
      <c r="T174" s="2">
        <v>15</v>
      </c>
      <c r="U174" s="2">
        <v>19</v>
      </c>
      <c r="V174" s="2">
        <v>460</v>
      </c>
      <c r="W174" s="3">
        <f>V174/S174</f>
        <v>4.1818181818181817</v>
      </c>
      <c r="X174" s="3">
        <f>V174/U174</f>
        <v>24.210526315789473</v>
      </c>
      <c r="Y174" s="4">
        <f>S174*6/U174</f>
        <v>34.736842105263158</v>
      </c>
      <c r="Z174" s="2">
        <v>3</v>
      </c>
      <c r="AA174" s="2">
        <v>0</v>
      </c>
      <c r="AB174" s="2">
        <v>0</v>
      </c>
      <c r="AC174" s="2">
        <v>7</v>
      </c>
    </row>
    <row r="175" spans="1:29" x14ac:dyDescent="0.35">
      <c r="A175" s="1" t="s">
        <v>237</v>
      </c>
      <c r="B175" s="1" t="s">
        <v>236</v>
      </c>
      <c r="C175">
        <f>D175+E175+F175+G175+H175+I175</f>
        <v>1</v>
      </c>
      <c r="D175" s="2">
        <v>0</v>
      </c>
      <c r="E175" s="2">
        <v>0</v>
      </c>
      <c r="F175" s="2">
        <v>1</v>
      </c>
      <c r="G175" s="2">
        <v>0</v>
      </c>
      <c r="H175" s="2">
        <v>0</v>
      </c>
      <c r="I175" s="2">
        <v>0</v>
      </c>
      <c r="J175" s="2">
        <v>1</v>
      </c>
      <c r="K175">
        <f>J175+L175</f>
        <v>1</v>
      </c>
      <c r="L175" s="2">
        <v>0</v>
      </c>
      <c r="M175" s="2">
        <v>0</v>
      </c>
      <c r="N175" s="2">
        <v>0</v>
      </c>
      <c r="O175" s="3">
        <f>N175/J175</f>
        <v>0</v>
      </c>
      <c r="P175" s="2">
        <v>0</v>
      </c>
      <c r="Q175" s="2">
        <v>0</v>
      </c>
      <c r="R175" s="2">
        <v>0</v>
      </c>
      <c r="S175" s="2">
        <v>8</v>
      </c>
      <c r="T175" s="2">
        <v>2</v>
      </c>
      <c r="U175" s="2">
        <v>0</v>
      </c>
      <c r="V175" s="2">
        <v>21</v>
      </c>
      <c r="W175" s="3">
        <f>V175/S175</f>
        <v>2.625</v>
      </c>
      <c r="X175" s="3" t="e">
        <f>V175/U175</f>
        <v>#DIV/0!</v>
      </c>
      <c r="Y175" s="4" t="e">
        <f>S175*6/U175</f>
        <v>#DIV/0!</v>
      </c>
      <c r="Z175" s="2">
        <v>0</v>
      </c>
      <c r="AA175" s="2">
        <v>0</v>
      </c>
      <c r="AB175" s="2">
        <v>0</v>
      </c>
      <c r="AC175" s="2">
        <v>0</v>
      </c>
    </row>
    <row r="176" spans="1:29" x14ac:dyDescent="0.35">
      <c r="A176" s="1" t="s">
        <v>238</v>
      </c>
      <c r="B176" s="1" t="s">
        <v>96</v>
      </c>
      <c r="C176">
        <f>D176+E176+F176+G176+H176+I176</f>
        <v>23</v>
      </c>
      <c r="D176" s="2">
        <v>0</v>
      </c>
      <c r="E176" s="2">
        <v>0</v>
      </c>
      <c r="F176" s="2">
        <v>7</v>
      </c>
      <c r="G176" s="2">
        <v>15</v>
      </c>
      <c r="H176" s="2">
        <v>0</v>
      </c>
      <c r="I176" s="2">
        <v>1</v>
      </c>
      <c r="J176" s="2">
        <v>17</v>
      </c>
      <c r="K176">
        <f>J176+L176</f>
        <v>25</v>
      </c>
      <c r="L176" s="2">
        <v>8</v>
      </c>
      <c r="M176" s="2">
        <v>9</v>
      </c>
      <c r="N176" s="2">
        <v>170</v>
      </c>
      <c r="O176" s="3">
        <f>N176/J176</f>
        <v>10</v>
      </c>
      <c r="P176" s="2">
        <v>0</v>
      </c>
      <c r="Q176" s="2">
        <v>0</v>
      </c>
      <c r="R176" s="2">
        <v>24</v>
      </c>
      <c r="S176" s="2">
        <v>0</v>
      </c>
      <c r="T176" s="2">
        <v>0</v>
      </c>
      <c r="U176" s="2">
        <v>0</v>
      </c>
      <c r="V176" s="2">
        <v>27</v>
      </c>
      <c r="W176" s="3" t="e">
        <f>V176/S176</f>
        <v>#DIV/0!</v>
      </c>
      <c r="X176" s="3" t="e">
        <f>V176/U176</f>
        <v>#DIV/0!</v>
      </c>
      <c r="Y176" s="4" t="e">
        <f>S176*6/U176</f>
        <v>#DIV/0!</v>
      </c>
      <c r="Z176" s="2">
        <v>0</v>
      </c>
      <c r="AA176" s="2">
        <v>0</v>
      </c>
      <c r="AB176" s="2">
        <v>0</v>
      </c>
      <c r="AC176" s="2">
        <v>21</v>
      </c>
    </row>
    <row r="177" spans="1:29" x14ac:dyDescent="0.35">
      <c r="A177" s="1" t="s">
        <v>238</v>
      </c>
      <c r="B177" s="1" t="s">
        <v>240</v>
      </c>
      <c r="C177">
        <f>D177+E177+F177+G177+H177+I177</f>
        <v>21</v>
      </c>
      <c r="D177" s="2">
        <v>17</v>
      </c>
      <c r="E177" s="2">
        <v>2</v>
      </c>
      <c r="F177" s="2">
        <v>1</v>
      </c>
      <c r="G177" s="2">
        <v>1</v>
      </c>
      <c r="H177" s="2">
        <v>0</v>
      </c>
      <c r="I177" s="2">
        <v>0</v>
      </c>
      <c r="J177" s="2">
        <v>18</v>
      </c>
      <c r="K177">
        <f>J177+L177</f>
        <v>21</v>
      </c>
      <c r="L177" s="2">
        <v>3</v>
      </c>
      <c r="M177" s="2">
        <v>0</v>
      </c>
      <c r="N177" s="2">
        <v>562</v>
      </c>
      <c r="O177" s="3">
        <f>N177/J177</f>
        <v>31.222222222222221</v>
      </c>
      <c r="P177" s="2">
        <v>3</v>
      </c>
      <c r="Q177" s="2">
        <v>0</v>
      </c>
      <c r="R177" s="2">
        <v>91</v>
      </c>
      <c r="S177" s="2">
        <v>6</v>
      </c>
      <c r="T177" s="2">
        <v>0</v>
      </c>
      <c r="U177" s="2">
        <v>1</v>
      </c>
      <c r="V177" s="2">
        <v>28</v>
      </c>
      <c r="W177" s="3">
        <f>V177/S177</f>
        <v>4.666666666666667</v>
      </c>
      <c r="X177" s="3">
        <f>V177/U177</f>
        <v>28</v>
      </c>
      <c r="Y177" s="4">
        <f>S177*6/U177</f>
        <v>36</v>
      </c>
      <c r="Z177" s="2">
        <v>1</v>
      </c>
      <c r="AA177" s="2">
        <v>0</v>
      </c>
      <c r="AB177" s="2">
        <v>0</v>
      </c>
      <c r="AC177" s="2">
        <v>5</v>
      </c>
    </row>
    <row r="178" spans="1:29" x14ac:dyDescent="0.35">
      <c r="A178" s="1" t="s">
        <v>238</v>
      </c>
      <c r="B178" s="1" t="s">
        <v>239</v>
      </c>
      <c r="C178">
        <f>D178+E178+F178+G178+H178+I178</f>
        <v>23</v>
      </c>
      <c r="D178" s="2">
        <v>0</v>
      </c>
      <c r="E178" s="2">
        <v>0</v>
      </c>
      <c r="F178" s="2">
        <v>8</v>
      </c>
      <c r="G178" s="2">
        <v>13</v>
      </c>
      <c r="H178" s="2">
        <v>0</v>
      </c>
      <c r="I178" s="2">
        <v>2</v>
      </c>
      <c r="J178" s="2">
        <v>16</v>
      </c>
      <c r="K178">
        <f>J178+L178</f>
        <v>22</v>
      </c>
      <c r="L178" s="2">
        <v>6</v>
      </c>
      <c r="M178" s="2">
        <v>4</v>
      </c>
      <c r="N178" s="2">
        <v>345</v>
      </c>
      <c r="O178" s="3">
        <f>N178/J178</f>
        <v>21.5625</v>
      </c>
      <c r="P178" s="2">
        <v>1</v>
      </c>
      <c r="Q178" s="2">
        <v>0</v>
      </c>
      <c r="R178" s="2">
        <v>87</v>
      </c>
      <c r="S178" s="2">
        <v>135</v>
      </c>
      <c r="T178" s="2">
        <v>18</v>
      </c>
      <c r="U178" s="2">
        <v>29</v>
      </c>
      <c r="V178" s="2">
        <v>482</v>
      </c>
      <c r="W178" s="3">
        <f>V178/S178</f>
        <v>3.5703703703703704</v>
      </c>
      <c r="X178" s="3">
        <f>V178/U178</f>
        <v>16.620689655172413</v>
      </c>
      <c r="Y178" s="4">
        <f>S178*6/U178</f>
        <v>27.931034482758619</v>
      </c>
      <c r="Z178" s="2">
        <v>6</v>
      </c>
      <c r="AA178" s="2">
        <v>1</v>
      </c>
      <c r="AB178" s="2">
        <v>0</v>
      </c>
      <c r="AC178" s="2">
        <v>4</v>
      </c>
    </row>
    <row r="179" spans="1:29" x14ac:dyDescent="0.35">
      <c r="A179" s="1" t="s">
        <v>241</v>
      </c>
      <c r="B179" s="1" t="s">
        <v>242</v>
      </c>
      <c r="C179">
        <f>D179+E179+F179+G179+H179+I179</f>
        <v>4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4</v>
      </c>
      <c r="J179" s="2">
        <v>3</v>
      </c>
      <c r="K179">
        <f>J179+L179</f>
        <v>3</v>
      </c>
      <c r="L179" s="2">
        <v>0</v>
      </c>
      <c r="M179" s="2">
        <v>1</v>
      </c>
      <c r="N179" s="2">
        <v>6</v>
      </c>
      <c r="O179" s="3">
        <f>N179/J179</f>
        <v>2</v>
      </c>
      <c r="P179" s="2">
        <v>0</v>
      </c>
      <c r="Q179" s="2">
        <v>0</v>
      </c>
      <c r="R179" s="2">
        <v>5</v>
      </c>
      <c r="S179" s="2">
        <v>1</v>
      </c>
      <c r="T179" s="2">
        <v>0</v>
      </c>
      <c r="U179" s="2">
        <v>1</v>
      </c>
      <c r="V179" s="2">
        <v>0</v>
      </c>
      <c r="W179" s="3">
        <f>V179/S179</f>
        <v>0</v>
      </c>
      <c r="X179" s="3">
        <f>V179/U179</f>
        <v>0</v>
      </c>
      <c r="Y179" s="4">
        <f>S179*6/U179</f>
        <v>6</v>
      </c>
      <c r="Z179" s="2">
        <v>1</v>
      </c>
      <c r="AA179" s="2">
        <v>0</v>
      </c>
      <c r="AB179" s="2">
        <v>0</v>
      </c>
      <c r="AC179" s="2">
        <v>1</v>
      </c>
    </row>
    <row r="180" spans="1:29" x14ac:dyDescent="0.35">
      <c r="A180" s="1" t="s">
        <v>241</v>
      </c>
      <c r="B180" s="1" t="s">
        <v>85</v>
      </c>
      <c r="C180">
        <f>D180+E180+F180+G180+H180+I180</f>
        <v>5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5</v>
      </c>
      <c r="J180" s="2">
        <v>4</v>
      </c>
      <c r="K180">
        <f>J180+L180</f>
        <v>4</v>
      </c>
      <c r="L180" s="2">
        <v>0</v>
      </c>
      <c r="M180" s="2">
        <v>0</v>
      </c>
      <c r="N180" s="2">
        <v>62</v>
      </c>
      <c r="O180" s="3">
        <f>N180/J180</f>
        <v>15.5</v>
      </c>
      <c r="P180" s="2">
        <v>0</v>
      </c>
      <c r="Q180" s="2">
        <v>0</v>
      </c>
      <c r="R180" s="2">
        <v>30</v>
      </c>
      <c r="S180" s="2">
        <v>10</v>
      </c>
      <c r="T180" s="2">
        <v>0</v>
      </c>
      <c r="U180" s="2">
        <v>2</v>
      </c>
      <c r="V180" s="2">
        <v>51</v>
      </c>
      <c r="W180" s="3">
        <f>V180/S180</f>
        <v>5.0999999999999996</v>
      </c>
      <c r="X180" s="3">
        <f>V180/U180</f>
        <v>25.5</v>
      </c>
      <c r="Y180" s="4">
        <f>S180*6/U180</f>
        <v>30</v>
      </c>
      <c r="Z180" s="2">
        <v>2</v>
      </c>
      <c r="AA180" s="2">
        <v>0</v>
      </c>
      <c r="AB180" s="2">
        <v>0</v>
      </c>
      <c r="AC180" s="2">
        <v>0</v>
      </c>
    </row>
    <row r="181" spans="1:29" x14ac:dyDescent="0.35">
      <c r="A181" s="26" t="s">
        <v>1188</v>
      </c>
      <c r="B181" s="26" t="s">
        <v>481</v>
      </c>
      <c r="C181" s="18">
        <f>D181+E181+F181+G181+H181+I181</f>
        <v>36</v>
      </c>
      <c r="D181" s="21">
        <v>3</v>
      </c>
      <c r="E181" s="21">
        <f>19+14</f>
        <v>33</v>
      </c>
      <c r="F181" s="21">
        <v>0</v>
      </c>
      <c r="G181" s="21">
        <v>0</v>
      </c>
      <c r="H181" s="21">
        <v>0</v>
      </c>
      <c r="I181" s="21">
        <v>0</v>
      </c>
      <c r="J181" s="21">
        <v>7</v>
      </c>
      <c r="K181" s="18">
        <f>J181+L181</f>
        <v>15</v>
      </c>
      <c r="L181" s="21">
        <v>8</v>
      </c>
      <c r="M181" s="21">
        <v>16</v>
      </c>
      <c r="N181" s="21">
        <v>56</v>
      </c>
      <c r="O181" s="19">
        <f>N181/J181</f>
        <v>8</v>
      </c>
      <c r="P181" s="21">
        <v>0</v>
      </c>
      <c r="Q181" s="21">
        <v>0</v>
      </c>
      <c r="R181" s="21">
        <v>16</v>
      </c>
      <c r="S181" s="37">
        <f>161.4+128</f>
        <v>289.39999999999998</v>
      </c>
      <c r="T181" s="37">
        <v>56</v>
      </c>
      <c r="U181" s="37">
        <v>51</v>
      </c>
      <c r="V181" s="37">
        <f>437+377</f>
        <v>814</v>
      </c>
      <c r="W181" s="19">
        <f>V181/S181</f>
        <v>2.8127159640635799</v>
      </c>
      <c r="X181" s="19">
        <f>V181/U181</f>
        <v>15.96078431372549</v>
      </c>
      <c r="Y181" s="19">
        <f>S181*6/U181</f>
        <v>34.047058823529412</v>
      </c>
      <c r="Z181" s="37" t="s">
        <v>1196</v>
      </c>
      <c r="AA181" s="21">
        <v>0</v>
      </c>
      <c r="AB181" s="21">
        <v>0</v>
      </c>
      <c r="AC181" s="21">
        <v>11</v>
      </c>
    </row>
    <row r="182" spans="1:29" x14ac:dyDescent="0.35">
      <c r="A182" s="1" t="s">
        <v>243</v>
      </c>
      <c r="B182" s="1" t="s">
        <v>220</v>
      </c>
      <c r="C182">
        <f>D182+E182+F182+G182+H182+I182</f>
        <v>61</v>
      </c>
      <c r="D182" s="2">
        <v>0</v>
      </c>
      <c r="E182" s="2">
        <v>0</v>
      </c>
      <c r="F182" s="2">
        <v>1</v>
      </c>
      <c r="G182" s="2">
        <v>12</v>
      </c>
      <c r="H182" s="2">
        <v>9</v>
      </c>
      <c r="I182" s="2">
        <v>39</v>
      </c>
      <c r="J182" s="2">
        <v>48</v>
      </c>
      <c r="K182">
        <f>J182+L182</f>
        <v>62</v>
      </c>
      <c r="L182" s="2">
        <v>14</v>
      </c>
      <c r="M182" s="2">
        <v>5</v>
      </c>
      <c r="N182" s="2">
        <v>723</v>
      </c>
      <c r="O182" s="3">
        <f>N182/J182</f>
        <v>15.0625</v>
      </c>
      <c r="P182" s="2">
        <v>1</v>
      </c>
      <c r="Q182" s="2">
        <v>0</v>
      </c>
      <c r="R182" s="2">
        <v>55</v>
      </c>
      <c r="S182" s="2">
        <v>131</v>
      </c>
      <c r="T182" s="2">
        <v>32</v>
      </c>
      <c r="U182" s="2">
        <v>22</v>
      </c>
      <c r="V182" s="2">
        <v>383</v>
      </c>
      <c r="W182" s="3">
        <f>V182/S182</f>
        <v>2.9236641221374047</v>
      </c>
      <c r="X182" s="3">
        <f>V182/U182</f>
        <v>17.40909090909091</v>
      </c>
      <c r="Y182" s="4">
        <f>S182*6/U182</f>
        <v>35.727272727272727</v>
      </c>
      <c r="Z182" s="2">
        <v>5</v>
      </c>
      <c r="AA182" s="2">
        <v>1</v>
      </c>
      <c r="AB182" s="2">
        <v>0</v>
      </c>
      <c r="AC182" s="2">
        <v>17</v>
      </c>
    </row>
    <row r="183" spans="1:29" x14ac:dyDescent="0.35">
      <c r="A183" s="1" t="s">
        <v>243</v>
      </c>
      <c r="B183" s="1" t="s">
        <v>244</v>
      </c>
      <c r="C183">
        <f>D183+E183+F183+G183+H183+I183</f>
        <v>14</v>
      </c>
      <c r="D183" s="2">
        <v>7</v>
      </c>
      <c r="E183" s="2">
        <v>2</v>
      </c>
      <c r="F183" s="2">
        <v>0</v>
      </c>
      <c r="G183" s="2">
        <v>3</v>
      </c>
      <c r="H183" s="2">
        <v>2</v>
      </c>
      <c r="I183" s="2">
        <v>0</v>
      </c>
      <c r="J183" s="2">
        <v>14</v>
      </c>
      <c r="K183">
        <f>J183+L183</f>
        <v>16</v>
      </c>
      <c r="L183" s="2">
        <v>2</v>
      </c>
      <c r="M183" s="2">
        <v>0</v>
      </c>
      <c r="N183" s="2">
        <v>345</v>
      </c>
      <c r="O183" s="3">
        <f>N183/J183</f>
        <v>24.642857142857142</v>
      </c>
      <c r="P183" s="2">
        <v>2</v>
      </c>
      <c r="Q183" s="2">
        <v>0</v>
      </c>
      <c r="R183" s="2">
        <v>53</v>
      </c>
      <c r="S183" s="2">
        <v>105</v>
      </c>
      <c r="T183" s="2">
        <v>35</v>
      </c>
      <c r="U183" s="2">
        <v>12</v>
      </c>
      <c r="V183" s="2">
        <v>290</v>
      </c>
      <c r="W183" s="3">
        <f>V183/S183</f>
        <v>2.7619047619047619</v>
      </c>
      <c r="X183" s="3">
        <f>V183/U183</f>
        <v>24.166666666666668</v>
      </c>
      <c r="Y183" s="4">
        <f>S183*6/U183</f>
        <v>52.5</v>
      </c>
      <c r="Z183" s="2">
        <v>5</v>
      </c>
      <c r="AA183" s="2">
        <v>1</v>
      </c>
      <c r="AB183" s="2">
        <v>0</v>
      </c>
      <c r="AC183" s="2">
        <v>1</v>
      </c>
    </row>
    <row r="184" spans="1:29" x14ac:dyDescent="0.35">
      <c r="A184" s="1" t="s">
        <v>243</v>
      </c>
      <c r="B184" s="1" t="s">
        <v>198</v>
      </c>
      <c r="C184">
        <f>D184+E184+F184+G184+H184+I184</f>
        <v>12</v>
      </c>
      <c r="D184" s="2">
        <v>0</v>
      </c>
      <c r="E184" s="2">
        <v>6</v>
      </c>
      <c r="F184" s="2">
        <v>0</v>
      </c>
      <c r="G184" s="2">
        <v>0</v>
      </c>
      <c r="H184" s="2">
        <v>6</v>
      </c>
      <c r="I184" s="2">
        <v>0</v>
      </c>
      <c r="J184" s="2">
        <v>10</v>
      </c>
      <c r="K184">
        <f>J184+L184</f>
        <v>11</v>
      </c>
      <c r="L184" s="2">
        <v>1</v>
      </c>
      <c r="M184" s="2">
        <v>2</v>
      </c>
      <c r="N184" s="2">
        <v>159</v>
      </c>
      <c r="O184" s="3">
        <f>N184/J184</f>
        <v>15.9</v>
      </c>
      <c r="P184" s="2">
        <v>0</v>
      </c>
      <c r="Q184" s="2">
        <v>0</v>
      </c>
      <c r="R184" s="2">
        <v>31</v>
      </c>
      <c r="S184" s="2">
        <v>56</v>
      </c>
      <c r="T184" s="2">
        <v>9</v>
      </c>
      <c r="U184" s="2">
        <v>3</v>
      </c>
      <c r="V184" s="2">
        <v>149</v>
      </c>
      <c r="W184" s="3">
        <f>V184/S184</f>
        <v>2.6607142857142856</v>
      </c>
      <c r="X184" s="3">
        <f>V184/U184</f>
        <v>49.666666666666664</v>
      </c>
      <c r="Y184" s="4">
        <f>S184*6/U184</f>
        <v>112</v>
      </c>
      <c r="Z184" s="2">
        <v>2</v>
      </c>
      <c r="AA184" s="2">
        <v>0</v>
      </c>
      <c r="AB184" s="2">
        <v>0</v>
      </c>
      <c r="AC184" s="2">
        <v>1</v>
      </c>
    </row>
    <row r="185" spans="1:29" x14ac:dyDescent="0.35">
      <c r="A185" s="1" t="s">
        <v>243</v>
      </c>
      <c r="B185" s="1" t="s">
        <v>28</v>
      </c>
      <c r="C185">
        <f>D185+E185+F185+G185+H185+I185</f>
        <v>1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1</v>
      </c>
      <c r="J185" s="2">
        <v>1</v>
      </c>
      <c r="K185">
        <f>J185+L185</f>
        <v>1</v>
      </c>
      <c r="L185" s="2">
        <v>0</v>
      </c>
      <c r="M185" s="2">
        <v>0</v>
      </c>
      <c r="N185" s="2">
        <v>0</v>
      </c>
      <c r="O185" s="3">
        <f>N185/J185</f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3" t="e">
        <f>V185/S185</f>
        <v>#DIV/0!</v>
      </c>
      <c r="X185" s="3" t="e">
        <f>V185/U185</f>
        <v>#DIV/0!</v>
      </c>
      <c r="Y185" s="4" t="e">
        <f>S185*6/U185</f>
        <v>#DIV/0!</v>
      </c>
      <c r="Z185" s="2">
        <v>0</v>
      </c>
      <c r="AA185" s="2">
        <v>0</v>
      </c>
      <c r="AB185" s="2">
        <v>0</v>
      </c>
      <c r="AC185" s="2">
        <v>0</v>
      </c>
    </row>
    <row r="186" spans="1:29" x14ac:dyDescent="0.35">
      <c r="A186" s="1" t="s">
        <v>245</v>
      </c>
      <c r="B186" s="1" t="s">
        <v>204</v>
      </c>
      <c r="C186">
        <f>D186+E186+F186+G186+H186+I186</f>
        <v>11</v>
      </c>
      <c r="D186" s="2">
        <v>0</v>
      </c>
      <c r="E186" s="2">
        <v>11</v>
      </c>
      <c r="F186" s="2">
        <v>0</v>
      </c>
      <c r="G186" s="2">
        <v>0</v>
      </c>
      <c r="H186" s="2">
        <v>0</v>
      </c>
      <c r="I186" s="2">
        <v>0</v>
      </c>
      <c r="J186" s="2">
        <v>5</v>
      </c>
      <c r="K186">
        <f>J186+L186</f>
        <v>8</v>
      </c>
      <c r="L186" s="2">
        <v>3</v>
      </c>
      <c r="M186" s="2">
        <v>3</v>
      </c>
      <c r="N186" s="2">
        <v>54</v>
      </c>
      <c r="O186" s="3">
        <f>N186/J186</f>
        <v>10.8</v>
      </c>
      <c r="P186" s="2">
        <v>0</v>
      </c>
      <c r="Q186" s="2">
        <v>0</v>
      </c>
      <c r="R186" s="2">
        <v>14</v>
      </c>
      <c r="S186" s="2">
        <v>115</v>
      </c>
      <c r="T186" s="2">
        <v>24</v>
      </c>
      <c r="U186" s="2">
        <v>17</v>
      </c>
      <c r="V186" s="2">
        <v>280</v>
      </c>
      <c r="W186" s="3">
        <f>V186/S186</f>
        <v>2.4347826086956523</v>
      </c>
      <c r="X186" s="3">
        <f>V186/U186</f>
        <v>16.470588235294116</v>
      </c>
      <c r="Y186" s="4">
        <f>S186*6/U186</f>
        <v>40.588235294117645</v>
      </c>
      <c r="Z186" s="2">
        <v>3</v>
      </c>
      <c r="AA186" s="2">
        <v>0</v>
      </c>
      <c r="AB186" s="2">
        <v>0</v>
      </c>
      <c r="AC186" s="2">
        <v>1</v>
      </c>
    </row>
    <row r="187" spans="1:29" x14ac:dyDescent="0.35">
      <c r="A187" s="15" t="s">
        <v>246</v>
      </c>
      <c r="B187" s="15" t="s">
        <v>895</v>
      </c>
      <c r="C187" s="18">
        <f>D187+E187+F187+G187+H187+I187</f>
        <v>20</v>
      </c>
      <c r="D187" s="16">
        <v>0</v>
      </c>
      <c r="E187" s="16">
        <v>0</v>
      </c>
      <c r="F187" s="16">
        <v>0</v>
      </c>
      <c r="G187" s="16">
        <v>1</v>
      </c>
      <c r="H187" s="16">
        <v>10</v>
      </c>
      <c r="I187" s="16">
        <v>9</v>
      </c>
      <c r="J187" s="16">
        <v>16</v>
      </c>
      <c r="K187" s="18">
        <f>J187+L187</f>
        <v>18</v>
      </c>
      <c r="L187" s="16">
        <v>2</v>
      </c>
      <c r="M187" s="16">
        <v>2</v>
      </c>
      <c r="N187" s="16">
        <f>171+27</f>
        <v>198</v>
      </c>
      <c r="O187" s="19">
        <f>N187/J187</f>
        <v>12.375</v>
      </c>
      <c r="P187" s="16">
        <v>0</v>
      </c>
      <c r="Q187" s="16">
        <v>0</v>
      </c>
      <c r="R187" s="22">
        <v>32</v>
      </c>
      <c r="S187" s="22">
        <f>22+9</f>
        <v>31</v>
      </c>
      <c r="T187" s="22">
        <v>0</v>
      </c>
      <c r="U187" s="22">
        <v>4</v>
      </c>
      <c r="V187" s="22">
        <f>99+47</f>
        <v>146</v>
      </c>
      <c r="W187" s="19">
        <f>V187/S187</f>
        <v>4.709677419354839</v>
      </c>
      <c r="X187" s="19">
        <f>V187/U187</f>
        <v>36.5</v>
      </c>
      <c r="Y187" s="19">
        <f>97/U187</f>
        <v>24.25</v>
      </c>
      <c r="Z187" s="22" t="s">
        <v>1124</v>
      </c>
      <c r="AA187" s="22">
        <v>0</v>
      </c>
      <c r="AB187" s="22">
        <v>0</v>
      </c>
      <c r="AC187" s="29">
        <v>8</v>
      </c>
    </row>
    <row r="188" spans="1:29" x14ac:dyDescent="0.35">
      <c r="A188" s="1" t="s">
        <v>246</v>
      </c>
      <c r="B188" s="7" t="s">
        <v>144</v>
      </c>
      <c r="C188">
        <f>D188+E188+F188+G188+H188+I188</f>
        <v>1</v>
      </c>
      <c r="D188" s="5">
        <v>0</v>
      </c>
      <c r="E188" s="5">
        <v>0</v>
      </c>
      <c r="F188" s="5">
        <v>1</v>
      </c>
      <c r="G188" s="5">
        <v>0</v>
      </c>
      <c r="H188" s="5">
        <v>0</v>
      </c>
      <c r="I188" s="5">
        <v>0</v>
      </c>
      <c r="J188" s="5">
        <v>0</v>
      </c>
      <c r="K188">
        <f>J188+L188</f>
        <v>1</v>
      </c>
      <c r="L188" s="5">
        <v>1</v>
      </c>
      <c r="M188" s="5">
        <v>0</v>
      </c>
      <c r="N188" s="5">
        <v>0</v>
      </c>
      <c r="O188" s="3" t="e">
        <f>N188/J188</f>
        <v>#DIV/0!</v>
      </c>
      <c r="P188" s="5">
        <v>0</v>
      </c>
      <c r="Q188" s="5">
        <v>0</v>
      </c>
      <c r="R188" s="40">
        <v>0</v>
      </c>
      <c r="S188" s="40">
        <v>0</v>
      </c>
      <c r="T188" s="40">
        <v>0</v>
      </c>
      <c r="U188" s="40">
        <v>0</v>
      </c>
      <c r="V188" s="40">
        <v>0</v>
      </c>
      <c r="W188" s="3" t="e">
        <f>V188/S188</f>
        <v>#DIV/0!</v>
      </c>
      <c r="X188" s="3" t="e">
        <f>V188/U188</f>
        <v>#DIV/0!</v>
      </c>
      <c r="Y188" s="4" t="e">
        <f>S188*6/U188</f>
        <v>#DIV/0!</v>
      </c>
      <c r="Z188" s="40">
        <v>0</v>
      </c>
      <c r="AA188" s="40">
        <v>0</v>
      </c>
      <c r="AB188" s="40">
        <v>0</v>
      </c>
      <c r="AC188" s="40">
        <v>0</v>
      </c>
    </row>
    <row r="189" spans="1:29" x14ac:dyDescent="0.35">
      <c r="A189" s="1" t="s">
        <v>247</v>
      </c>
      <c r="B189" s="1" t="s">
        <v>176</v>
      </c>
      <c r="C189">
        <f>D189+E189+F189+G189+H189+I189</f>
        <v>7</v>
      </c>
      <c r="D189" s="2">
        <v>0</v>
      </c>
      <c r="E189" s="2">
        <v>0</v>
      </c>
      <c r="F189" s="2">
        <v>0</v>
      </c>
      <c r="G189" s="2">
        <v>0</v>
      </c>
      <c r="H189" s="2">
        <v>7</v>
      </c>
      <c r="I189" s="2">
        <v>0</v>
      </c>
      <c r="J189" s="2">
        <v>5</v>
      </c>
      <c r="K189">
        <f>J189+L189</f>
        <v>6</v>
      </c>
      <c r="L189" s="2">
        <v>1</v>
      </c>
      <c r="M189" s="2">
        <v>1</v>
      </c>
      <c r="N189" s="2">
        <v>137</v>
      </c>
      <c r="O189" s="3">
        <f>N189/J189</f>
        <v>27.4</v>
      </c>
      <c r="P189" s="2">
        <v>1</v>
      </c>
      <c r="Q189" s="2">
        <v>0</v>
      </c>
      <c r="R189" s="2">
        <v>76</v>
      </c>
      <c r="S189" s="2">
        <v>9</v>
      </c>
      <c r="T189" s="2">
        <v>0</v>
      </c>
      <c r="U189" s="2">
        <v>0</v>
      </c>
      <c r="V189" s="2">
        <v>38</v>
      </c>
      <c r="W189" s="3">
        <f>V189/S189</f>
        <v>4.2222222222222223</v>
      </c>
      <c r="X189" s="3" t="e">
        <f>V189/U189</f>
        <v>#DIV/0!</v>
      </c>
      <c r="Y189" s="4" t="e">
        <f>S189*6/U189</f>
        <v>#DIV/0!</v>
      </c>
      <c r="Z189" s="2">
        <v>0</v>
      </c>
      <c r="AA189" s="2">
        <v>0</v>
      </c>
      <c r="AB189" s="2">
        <v>0</v>
      </c>
      <c r="AC189" s="2">
        <v>2</v>
      </c>
    </row>
    <row r="190" spans="1:29" x14ac:dyDescent="0.35">
      <c r="A190" s="1" t="s">
        <v>248</v>
      </c>
      <c r="B190" s="1" t="s">
        <v>42</v>
      </c>
      <c r="C190">
        <f>D190+E190+F190+G190+H190+I190</f>
        <v>44</v>
      </c>
      <c r="D190" s="2">
        <v>0</v>
      </c>
      <c r="E190" s="2">
        <v>0</v>
      </c>
      <c r="F190" s="2">
        <v>13</v>
      </c>
      <c r="G190" s="2">
        <v>5</v>
      </c>
      <c r="H190" s="2">
        <v>26</v>
      </c>
      <c r="I190" s="2">
        <v>0</v>
      </c>
      <c r="J190" s="2">
        <v>23</v>
      </c>
      <c r="K190">
        <f>J190+L190</f>
        <v>28</v>
      </c>
      <c r="L190" s="2">
        <v>5</v>
      </c>
      <c r="M190" s="2">
        <v>19</v>
      </c>
      <c r="N190" s="2">
        <v>169</v>
      </c>
      <c r="O190" s="3">
        <f>N190/J190</f>
        <v>7.3478260869565215</v>
      </c>
      <c r="P190" s="2">
        <v>0</v>
      </c>
      <c r="Q190" s="2">
        <v>0</v>
      </c>
      <c r="R190" s="2">
        <v>21</v>
      </c>
      <c r="S190" s="2">
        <v>82</v>
      </c>
      <c r="T190" s="2">
        <v>4</v>
      </c>
      <c r="U190" s="2">
        <v>14</v>
      </c>
      <c r="V190" s="2">
        <v>333</v>
      </c>
      <c r="W190" s="3">
        <f>V190/S190</f>
        <v>4.0609756097560972</v>
      </c>
      <c r="X190" s="3">
        <f>V190/U190</f>
        <v>23.785714285714285</v>
      </c>
      <c r="Y190" s="4">
        <f>S190*6/U190</f>
        <v>35.142857142857146</v>
      </c>
      <c r="Z190" s="2">
        <v>5</v>
      </c>
      <c r="AA190" s="2">
        <v>1</v>
      </c>
      <c r="AB190" s="2">
        <v>0</v>
      </c>
      <c r="AC190" s="2">
        <v>9</v>
      </c>
    </row>
    <row r="191" spans="1:29" x14ac:dyDescent="0.35">
      <c r="A191" s="1" t="s">
        <v>248</v>
      </c>
      <c r="B191" s="1" t="s">
        <v>154</v>
      </c>
      <c r="C191">
        <f>D191+E191+F191+G191+H191+I191</f>
        <v>11</v>
      </c>
      <c r="D191" s="2">
        <v>0</v>
      </c>
      <c r="E191" s="2">
        <v>0</v>
      </c>
      <c r="F191" s="2">
        <v>3</v>
      </c>
      <c r="G191" s="2">
        <v>8</v>
      </c>
      <c r="H191" s="2">
        <v>0</v>
      </c>
      <c r="I191" s="2">
        <v>0</v>
      </c>
      <c r="J191" s="2">
        <v>11</v>
      </c>
      <c r="K191">
        <f>J191+L191</f>
        <v>12</v>
      </c>
      <c r="L191" s="2">
        <v>1</v>
      </c>
      <c r="M191" s="2">
        <v>1</v>
      </c>
      <c r="N191" s="2">
        <v>370</v>
      </c>
      <c r="O191" s="3">
        <f>N191/J191</f>
        <v>33.636363636363633</v>
      </c>
      <c r="P191" s="2">
        <v>2</v>
      </c>
      <c r="Q191" s="2">
        <v>0</v>
      </c>
      <c r="R191" s="2">
        <v>86</v>
      </c>
      <c r="S191" s="2">
        <v>75</v>
      </c>
      <c r="T191" s="2">
        <v>15</v>
      </c>
      <c r="U191" s="2">
        <v>11</v>
      </c>
      <c r="V191" s="2">
        <v>201</v>
      </c>
      <c r="W191" s="3">
        <f>V191/S191</f>
        <v>2.68</v>
      </c>
      <c r="X191" s="3">
        <f>V191/U191</f>
        <v>18.272727272727273</v>
      </c>
      <c r="Y191" s="4">
        <f>S191*6/U191</f>
        <v>40.909090909090907</v>
      </c>
      <c r="Z191" s="2">
        <v>4</v>
      </c>
      <c r="AA191" s="2">
        <v>0</v>
      </c>
      <c r="AB191" s="2">
        <v>0</v>
      </c>
      <c r="AC191" s="2">
        <v>1</v>
      </c>
    </row>
    <row r="192" spans="1:29" x14ac:dyDescent="0.35">
      <c r="A192" s="1" t="s">
        <v>249</v>
      </c>
      <c r="B192" s="1" t="s">
        <v>41</v>
      </c>
      <c r="C192">
        <f>D192+E192+F192+G192+H192+I192</f>
        <v>6</v>
      </c>
      <c r="D192" s="2">
        <v>6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2</v>
      </c>
      <c r="K192">
        <f>J192+L192</f>
        <v>2</v>
      </c>
      <c r="L192" s="2">
        <v>0</v>
      </c>
      <c r="M192" s="2">
        <v>4</v>
      </c>
      <c r="N192" s="2">
        <v>4</v>
      </c>
      <c r="O192" s="3">
        <f>N192/J192</f>
        <v>2</v>
      </c>
      <c r="P192" s="2">
        <v>0</v>
      </c>
      <c r="Q192" s="2">
        <v>0</v>
      </c>
      <c r="R192" s="2">
        <v>4</v>
      </c>
      <c r="S192" s="2">
        <v>43</v>
      </c>
      <c r="T192" s="2">
        <v>14</v>
      </c>
      <c r="U192" s="2">
        <v>7</v>
      </c>
      <c r="V192" s="2">
        <v>128</v>
      </c>
      <c r="W192" s="3">
        <f>V192/S192</f>
        <v>2.9767441860465116</v>
      </c>
      <c r="X192" s="3">
        <f>V192/U192</f>
        <v>18.285714285714285</v>
      </c>
      <c r="Y192" s="4">
        <f>S192*6/U192</f>
        <v>36.857142857142854</v>
      </c>
      <c r="Z192" s="2">
        <v>3</v>
      </c>
      <c r="AA192" s="2">
        <v>0</v>
      </c>
      <c r="AB192" s="2">
        <v>0</v>
      </c>
      <c r="AC192" s="2">
        <v>1</v>
      </c>
    </row>
    <row r="193" spans="1:29" x14ac:dyDescent="0.35">
      <c r="A193" s="1" t="s">
        <v>250</v>
      </c>
      <c r="B193" s="1" t="s">
        <v>125</v>
      </c>
      <c r="C193">
        <f>D193+E193+F193+G193+H193+I193</f>
        <v>12</v>
      </c>
      <c r="D193" s="2">
        <v>0</v>
      </c>
      <c r="E193" s="2">
        <v>0</v>
      </c>
      <c r="F193" s="2">
        <v>10</v>
      </c>
      <c r="G193" s="2">
        <v>1</v>
      </c>
      <c r="H193" s="2">
        <v>1</v>
      </c>
      <c r="I193" s="2">
        <v>0</v>
      </c>
      <c r="J193" s="2">
        <v>16</v>
      </c>
      <c r="K193">
        <f>J193+L193</f>
        <v>20</v>
      </c>
      <c r="L193" s="2">
        <v>4</v>
      </c>
      <c r="M193" s="2">
        <v>0</v>
      </c>
      <c r="N193" s="2">
        <v>388</v>
      </c>
      <c r="O193" s="3">
        <f>N193/J193</f>
        <v>24.25</v>
      </c>
      <c r="P193" s="2">
        <v>2</v>
      </c>
      <c r="Q193" s="2">
        <v>0</v>
      </c>
      <c r="R193" s="2">
        <v>90</v>
      </c>
      <c r="S193" s="2">
        <v>252</v>
      </c>
      <c r="T193" s="2">
        <v>65</v>
      </c>
      <c r="U193" s="2">
        <v>33</v>
      </c>
      <c r="V193" s="2">
        <v>661</v>
      </c>
      <c r="W193" s="3">
        <f>V193/S193</f>
        <v>2.623015873015873</v>
      </c>
      <c r="X193" s="3">
        <f>V193/U193</f>
        <v>20.030303030303031</v>
      </c>
      <c r="Y193" s="4">
        <f>S193*6/U193</f>
        <v>45.81818181818182</v>
      </c>
      <c r="Z193" s="2">
        <v>6</v>
      </c>
      <c r="AA193" s="2">
        <v>2</v>
      </c>
      <c r="AB193" s="2">
        <v>0</v>
      </c>
      <c r="AC193" s="2">
        <v>3</v>
      </c>
    </row>
    <row r="194" spans="1:29" x14ac:dyDescent="0.35">
      <c r="A194" s="1" t="s">
        <v>251</v>
      </c>
      <c r="B194" s="1" t="s">
        <v>16</v>
      </c>
      <c r="C194">
        <f>D194+E194+F194+G194+H194+I194</f>
        <v>16</v>
      </c>
      <c r="D194" s="2">
        <v>0</v>
      </c>
      <c r="E194" s="2">
        <v>0</v>
      </c>
      <c r="F194" s="2">
        <v>5</v>
      </c>
      <c r="G194" s="2">
        <v>4</v>
      </c>
      <c r="H194" s="2">
        <v>7</v>
      </c>
      <c r="I194" s="2">
        <v>0</v>
      </c>
      <c r="J194" s="2">
        <v>15</v>
      </c>
      <c r="K194">
        <f>J194+L194</f>
        <v>19</v>
      </c>
      <c r="L194" s="2">
        <v>4</v>
      </c>
      <c r="M194" s="2">
        <v>3</v>
      </c>
      <c r="N194" s="2">
        <v>324</v>
      </c>
      <c r="O194" s="3">
        <f>N194/J194</f>
        <v>21.6</v>
      </c>
      <c r="P194" s="2">
        <v>1</v>
      </c>
      <c r="Q194" s="2">
        <v>0</v>
      </c>
      <c r="R194" s="2">
        <v>69</v>
      </c>
      <c r="S194" s="2">
        <v>81</v>
      </c>
      <c r="T194" s="2">
        <v>14</v>
      </c>
      <c r="U194" s="2">
        <v>19</v>
      </c>
      <c r="V194" s="2">
        <v>280</v>
      </c>
      <c r="W194" s="3">
        <f>V194/S194</f>
        <v>3.4567901234567899</v>
      </c>
      <c r="X194" s="3">
        <f>V194/U194</f>
        <v>14.736842105263158</v>
      </c>
      <c r="Y194" s="4">
        <f>S194*6/U194</f>
        <v>25.578947368421051</v>
      </c>
      <c r="Z194" s="2">
        <v>6</v>
      </c>
      <c r="AA194" s="2">
        <v>1</v>
      </c>
      <c r="AB194" s="2">
        <v>0</v>
      </c>
      <c r="AC194" s="2">
        <v>4</v>
      </c>
    </row>
    <row r="195" spans="1:29" x14ac:dyDescent="0.35">
      <c r="A195" s="1" t="s">
        <v>252</v>
      </c>
      <c r="B195" s="1" t="s">
        <v>18</v>
      </c>
      <c r="C195">
        <f>D195+E195+F195+G195+H195+I195</f>
        <v>16</v>
      </c>
      <c r="D195" s="2">
        <v>0</v>
      </c>
      <c r="E195" s="2">
        <v>0</v>
      </c>
      <c r="F195" s="2">
        <v>11</v>
      </c>
      <c r="G195" s="2">
        <v>5</v>
      </c>
      <c r="H195" s="2">
        <v>0</v>
      </c>
      <c r="I195" s="2">
        <v>0</v>
      </c>
      <c r="J195" s="2">
        <v>14</v>
      </c>
      <c r="K195">
        <f>J195+L195</f>
        <v>22</v>
      </c>
      <c r="L195" s="2">
        <v>8</v>
      </c>
      <c r="M195" s="2">
        <v>4</v>
      </c>
      <c r="N195" s="2">
        <v>116</v>
      </c>
      <c r="O195" s="3">
        <f>N195/J195</f>
        <v>8.2857142857142865</v>
      </c>
      <c r="P195" s="2">
        <v>0</v>
      </c>
      <c r="Q195" s="2">
        <v>0</v>
      </c>
      <c r="R195" s="2">
        <v>29</v>
      </c>
      <c r="S195" s="2">
        <v>422</v>
      </c>
      <c r="T195" s="2">
        <v>104</v>
      </c>
      <c r="U195" s="2">
        <v>65</v>
      </c>
      <c r="V195" s="2">
        <v>1021</v>
      </c>
      <c r="W195" s="3">
        <f>V195/S195</f>
        <v>2.419431279620853</v>
      </c>
      <c r="X195" s="3">
        <f>V195/U195</f>
        <v>15.707692307692307</v>
      </c>
      <c r="Y195" s="4">
        <f>S195*6/U195</f>
        <v>38.95384615384615</v>
      </c>
      <c r="Z195" s="2">
        <v>7</v>
      </c>
      <c r="AA195" s="2">
        <v>6</v>
      </c>
      <c r="AB195" s="2">
        <v>0</v>
      </c>
      <c r="AC195" s="2">
        <v>5</v>
      </c>
    </row>
    <row r="196" spans="1:29" x14ac:dyDescent="0.35">
      <c r="A196" s="1" t="s">
        <v>253</v>
      </c>
      <c r="B196" s="1" t="s">
        <v>58</v>
      </c>
      <c r="C196">
        <f>D196+E196+F196+G196+H196+I196</f>
        <v>32</v>
      </c>
      <c r="D196" s="2">
        <v>0</v>
      </c>
      <c r="E196" s="2">
        <v>2</v>
      </c>
      <c r="F196" s="2">
        <v>13</v>
      </c>
      <c r="G196" s="2">
        <v>3</v>
      </c>
      <c r="H196" s="2">
        <v>14</v>
      </c>
      <c r="I196" s="2">
        <v>0</v>
      </c>
      <c r="J196" s="2">
        <v>38</v>
      </c>
      <c r="K196">
        <f>J196+L196</f>
        <v>49</v>
      </c>
      <c r="L196" s="2">
        <v>11</v>
      </c>
      <c r="M196" s="2">
        <v>9</v>
      </c>
      <c r="N196" s="2">
        <v>1213</v>
      </c>
      <c r="O196" s="3">
        <f>N196/J196</f>
        <v>31.921052631578949</v>
      </c>
      <c r="P196" s="2">
        <v>2</v>
      </c>
      <c r="Q196" s="2">
        <v>3</v>
      </c>
      <c r="R196" s="2">
        <v>128</v>
      </c>
      <c r="S196" s="2">
        <v>431</v>
      </c>
      <c r="T196" s="2">
        <v>95</v>
      </c>
      <c r="U196" s="2">
        <v>83</v>
      </c>
      <c r="V196" s="2">
        <v>1186</v>
      </c>
      <c r="W196" s="3">
        <f>V196/S196</f>
        <v>2.7517401392111367</v>
      </c>
      <c r="X196" s="3">
        <f>V196/U196</f>
        <v>14.289156626506024</v>
      </c>
      <c r="Y196" s="4">
        <f>S196*6/U196</f>
        <v>31.156626506024097</v>
      </c>
      <c r="Z196" s="2">
        <v>5</v>
      </c>
      <c r="AA196" s="2">
        <v>2</v>
      </c>
      <c r="AB196" s="2">
        <v>0</v>
      </c>
      <c r="AC196" s="2">
        <v>24</v>
      </c>
    </row>
    <row r="197" spans="1:29" x14ac:dyDescent="0.35">
      <c r="A197" s="1" t="s">
        <v>254</v>
      </c>
      <c r="B197" s="1" t="s">
        <v>255</v>
      </c>
      <c r="C197">
        <f>D197+E197+F197+G197+H197+I197</f>
        <v>1</v>
      </c>
      <c r="D197" s="2">
        <v>0</v>
      </c>
      <c r="E197" s="2">
        <v>0</v>
      </c>
      <c r="F197" s="2">
        <v>1</v>
      </c>
      <c r="G197" s="2">
        <v>0</v>
      </c>
      <c r="H197" s="2">
        <v>0</v>
      </c>
      <c r="I197" s="2">
        <v>0</v>
      </c>
      <c r="J197" s="2">
        <v>0</v>
      </c>
      <c r="K197">
        <f>J197+L197</f>
        <v>1</v>
      </c>
      <c r="L197" s="2">
        <v>1</v>
      </c>
      <c r="M197" s="2">
        <v>0</v>
      </c>
      <c r="N197" s="2">
        <v>1</v>
      </c>
      <c r="O197" s="3" t="e">
        <f>N197/J197</f>
        <v>#DIV/0!</v>
      </c>
      <c r="P197" s="2">
        <v>0</v>
      </c>
      <c r="Q197" s="2">
        <v>0</v>
      </c>
      <c r="R197" s="2">
        <v>1</v>
      </c>
      <c r="S197" s="2">
        <v>0</v>
      </c>
      <c r="T197" s="2">
        <v>0</v>
      </c>
      <c r="U197" s="2">
        <v>0</v>
      </c>
      <c r="V197" s="2">
        <v>0</v>
      </c>
      <c r="W197" s="3" t="e">
        <f>V197/S197</f>
        <v>#DIV/0!</v>
      </c>
      <c r="X197" s="3" t="e">
        <f>V197/U197</f>
        <v>#DIV/0!</v>
      </c>
      <c r="Y197" s="4" t="e">
        <f>S197*6/U197</f>
        <v>#DIV/0!</v>
      </c>
      <c r="Z197" s="2">
        <v>0</v>
      </c>
      <c r="AA197" s="2">
        <v>0</v>
      </c>
      <c r="AB197" s="2">
        <v>0</v>
      </c>
      <c r="AC197" s="2">
        <v>0</v>
      </c>
    </row>
    <row r="198" spans="1:29" x14ac:dyDescent="0.35">
      <c r="A198" s="1" t="s">
        <v>256</v>
      </c>
      <c r="B198" s="1" t="s">
        <v>24</v>
      </c>
      <c r="C198">
        <f>D198+E198+F198+G198+H198+I198</f>
        <v>1</v>
      </c>
      <c r="D198" s="2">
        <v>0</v>
      </c>
      <c r="E198" s="2">
        <v>0</v>
      </c>
      <c r="F198" s="2">
        <v>0</v>
      </c>
      <c r="G198" s="2">
        <v>1</v>
      </c>
      <c r="H198" s="2">
        <v>0</v>
      </c>
      <c r="I198" s="2">
        <v>0</v>
      </c>
      <c r="J198" s="2">
        <v>0</v>
      </c>
      <c r="K198">
        <f>J198+L198</f>
        <v>0</v>
      </c>
      <c r="L198" s="2">
        <v>0</v>
      </c>
      <c r="M198" s="2">
        <v>1</v>
      </c>
      <c r="N198" s="2">
        <v>0</v>
      </c>
      <c r="O198" s="3" t="e">
        <f>N198/J198</f>
        <v>#DIV/0!</v>
      </c>
      <c r="P198" s="2">
        <v>0</v>
      </c>
      <c r="Q198" s="2">
        <v>0</v>
      </c>
      <c r="R198" s="2">
        <v>0</v>
      </c>
      <c r="S198" s="2">
        <v>1</v>
      </c>
      <c r="T198" s="2">
        <v>0</v>
      </c>
      <c r="U198" s="2">
        <v>1</v>
      </c>
      <c r="V198" s="2">
        <v>5</v>
      </c>
      <c r="W198" s="3">
        <f>V198/S198</f>
        <v>5</v>
      </c>
      <c r="X198" s="3">
        <f>V198/U198</f>
        <v>5</v>
      </c>
      <c r="Y198" s="4">
        <f>S198*6/U198</f>
        <v>6</v>
      </c>
      <c r="Z198" s="2">
        <v>1</v>
      </c>
      <c r="AA198" s="2">
        <v>0</v>
      </c>
      <c r="AB198" s="2">
        <v>0</v>
      </c>
      <c r="AC198" s="2">
        <v>0</v>
      </c>
    </row>
    <row r="199" spans="1:29" x14ac:dyDescent="0.35">
      <c r="A199" s="1" t="s">
        <v>257</v>
      </c>
      <c r="B199" s="1" t="s">
        <v>165</v>
      </c>
      <c r="C199">
        <f>D199+E199+F199+G199+H199+I199</f>
        <v>165</v>
      </c>
      <c r="D199" s="2">
        <v>70</v>
      </c>
      <c r="E199" s="2">
        <v>46</v>
      </c>
      <c r="F199" s="2">
        <v>8</v>
      </c>
      <c r="G199" s="2">
        <v>16</v>
      </c>
      <c r="H199" s="2">
        <v>13</v>
      </c>
      <c r="I199" s="2">
        <v>12</v>
      </c>
      <c r="J199" s="2">
        <v>95</v>
      </c>
      <c r="K199">
        <f>J199+L199</f>
        <v>130</v>
      </c>
      <c r="L199" s="2">
        <v>35</v>
      </c>
      <c r="M199" s="2">
        <v>50</v>
      </c>
      <c r="N199" s="2">
        <v>1365</v>
      </c>
      <c r="O199" s="3">
        <f>N199/J199</f>
        <v>14.368421052631579</v>
      </c>
      <c r="P199" s="2">
        <v>2</v>
      </c>
      <c r="Q199" s="2">
        <v>1</v>
      </c>
      <c r="R199" s="2">
        <v>207</v>
      </c>
      <c r="S199" s="2">
        <v>1609</v>
      </c>
      <c r="T199" s="2">
        <v>367</v>
      </c>
      <c r="U199" s="2">
        <v>242</v>
      </c>
      <c r="V199" s="2">
        <v>4589</v>
      </c>
      <c r="W199" s="3">
        <f>V199/S199</f>
        <v>2.8520820385332506</v>
      </c>
      <c r="X199" s="3">
        <f>V199/U199</f>
        <v>18.962809917355372</v>
      </c>
      <c r="Y199" s="4">
        <f>S199*6/U199</f>
        <v>39.892561983471076</v>
      </c>
      <c r="Z199" s="2">
        <v>7</v>
      </c>
      <c r="AA199" s="2">
        <v>6</v>
      </c>
      <c r="AB199" s="2">
        <v>0</v>
      </c>
      <c r="AC199" s="2">
        <v>33</v>
      </c>
    </row>
    <row r="200" spans="1:29" x14ac:dyDescent="0.35">
      <c r="A200" s="1" t="s">
        <v>258</v>
      </c>
      <c r="B200" s="1" t="s">
        <v>259</v>
      </c>
      <c r="C200">
        <f>D200+E200+F200+G200+H200+I200</f>
        <v>30</v>
      </c>
      <c r="D200" s="2">
        <v>3</v>
      </c>
      <c r="E200" s="2">
        <v>13</v>
      </c>
      <c r="F200" s="2">
        <v>3</v>
      </c>
      <c r="G200" s="2">
        <v>10</v>
      </c>
      <c r="H200" s="2">
        <v>1</v>
      </c>
      <c r="I200" s="2">
        <v>0</v>
      </c>
      <c r="J200" s="2">
        <v>25</v>
      </c>
      <c r="K200">
        <f>J200+L200</f>
        <v>29</v>
      </c>
      <c r="L200" s="2">
        <v>4</v>
      </c>
      <c r="M200" s="2">
        <v>4</v>
      </c>
      <c r="N200" s="2">
        <v>806</v>
      </c>
      <c r="O200" s="3">
        <f>N200/J200</f>
        <v>32.24</v>
      </c>
      <c r="P200" s="2">
        <v>3</v>
      </c>
      <c r="Q200" s="2">
        <v>2</v>
      </c>
      <c r="R200" s="2">
        <v>124</v>
      </c>
      <c r="S200" s="2">
        <v>13</v>
      </c>
      <c r="T200" s="2">
        <v>1</v>
      </c>
      <c r="U200" s="2">
        <v>3</v>
      </c>
      <c r="V200" s="2">
        <v>42</v>
      </c>
      <c r="W200" s="3">
        <f>V200/S200</f>
        <v>3.2307692307692308</v>
      </c>
      <c r="X200" s="3">
        <f>V200/U200</f>
        <v>14</v>
      </c>
      <c r="Y200" s="4">
        <f>S200*6/U200</f>
        <v>26</v>
      </c>
      <c r="Z200" s="2">
        <v>2</v>
      </c>
      <c r="AA200" s="2">
        <v>0</v>
      </c>
      <c r="AB200" s="2">
        <v>0</v>
      </c>
      <c r="AC200" s="2">
        <v>21</v>
      </c>
    </row>
    <row r="201" spans="1:29" x14ac:dyDescent="0.35">
      <c r="A201" s="1" t="s">
        <v>258</v>
      </c>
      <c r="B201" s="1" t="s">
        <v>24</v>
      </c>
      <c r="C201">
        <f>D201+E201+F201+G201+H201+I201</f>
        <v>14</v>
      </c>
      <c r="D201" s="2">
        <v>0</v>
      </c>
      <c r="E201" s="2">
        <v>0</v>
      </c>
      <c r="F201" s="2">
        <v>2</v>
      </c>
      <c r="G201" s="2">
        <v>12</v>
      </c>
      <c r="H201" s="2">
        <v>0</v>
      </c>
      <c r="I201" s="2">
        <v>0</v>
      </c>
      <c r="J201" s="2">
        <v>5</v>
      </c>
      <c r="K201">
        <f>J201+L201</f>
        <v>10</v>
      </c>
      <c r="L201" s="2">
        <v>5</v>
      </c>
      <c r="M201" s="2">
        <v>4</v>
      </c>
      <c r="N201" s="2">
        <v>372</v>
      </c>
      <c r="O201" s="3">
        <f>N201/J201</f>
        <v>74.400000000000006</v>
      </c>
      <c r="P201" s="2">
        <v>3</v>
      </c>
      <c r="Q201" s="2">
        <v>1</v>
      </c>
      <c r="R201" s="2">
        <v>101</v>
      </c>
      <c r="S201" s="2">
        <v>0</v>
      </c>
      <c r="T201" s="2">
        <v>0</v>
      </c>
      <c r="U201" s="2">
        <v>0</v>
      </c>
      <c r="V201" s="2">
        <v>0</v>
      </c>
      <c r="W201" s="3" t="e">
        <f>V201/S201</f>
        <v>#DIV/0!</v>
      </c>
      <c r="X201" s="3" t="e">
        <f>V201/U201</f>
        <v>#DIV/0!</v>
      </c>
      <c r="Y201" s="4" t="e">
        <f>S201*6/U201</f>
        <v>#DIV/0!</v>
      </c>
      <c r="Z201" s="2">
        <v>0</v>
      </c>
      <c r="AA201" s="2">
        <v>0</v>
      </c>
      <c r="AB201" s="2">
        <v>0</v>
      </c>
      <c r="AC201" s="2">
        <v>4</v>
      </c>
    </row>
    <row r="202" spans="1:29" x14ac:dyDescent="0.35">
      <c r="A202" s="1" t="s">
        <v>258</v>
      </c>
      <c r="B202" s="1" t="s">
        <v>260</v>
      </c>
      <c r="C202">
        <f>D202+E202+F202+G202+H202+I202</f>
        <v>16</v>
      </c>
      <c r="D202" s="2">
        <v>5</v>
      </c>
      <c r="E202" s="2">
        <v>10</v>
      </c>
      <c r="F202" s="2">
        <v>0</v>
      </c>
      <c r="G202" s="2">
        <v>1</v>
      </c>
      <c r="H202" s="2">
        <v>0</v>
      </c>
      <c r="I202" s="2">
        <v>0</v>
      </c>
      <c r="J202" s="2">
        <v>6</v>
      </c>
      <c r="K202">
        <f>J202+L202</f>
        <v>15</v>
      </c>
      <c r="L202" s="2">
        <v>9</v>
      </c>
      <c r="M202" s="2">
        <v>1</v>
      </c>
      <c r="N202" s="2">
        <v>148</v>
      </c>
      <c r="O202" s="3">
        <f>N202/J202</f>
        <v>24.666666666666668</v>
      </c>
      <c r="P202" s="2">
        <v>1</v>
      </c>
      <c r="Q202" s="2">
        <v>0</v>
      </c>
      <c r="R202" s="2">
        <v>56</v>
      </c>
      <c r="S202" s="2">
        <v>154</v>
      </c>
      <c r="T202" s="2">
        <v>36</v>
      </c>
      <c r="U202" s="2">
        <v>25</v>
      </c>
      <c r="V202" s="2">
        <v>375</v>
      </c>
      <c r="W202" s="3">
        <f>V202/S202</f>
        <v>2.4350649350649349</v>
      </c>
      <c r="X202" s="3">
        <f>V202/U202</f>
        <v>15</v>
      </c>
      <c r="Y202" s="4">
        <f>S202*6/U202</f>
        <v>36.96</v>
      </c>
      <c r="Z202" s="2">
        <v>5</v>
      </c>
      <c r="AA202" s="2">
        <v>1</v>
      </c>
      <c r="AB202" s="2">
        <v>0</v>
      </c>
      <c r="AC202" s="2">
        <v>0</v>
      </c>
    </row>
    <row r="203" spans="1:29" x14ac:dyDescent="0.35">
      <c r="A203" s="1" t="s">
        <v>261</v>
      </c>
      <c r="B203" s="1" t="s">
        <v>110</v>
      </c>
      <c r="C203">
        <f>D203+E203+F203+G203+H203+I203</f>
        <v>10</v>
      </c>
      <c r="D203" s="2">
        <v>0</v>
      </c>
      <c r="E203" s="2">
        <v>10</v>
      </c>
      <c r="F203" s="2">
        <v>0</v>
      </c>
      <c r="G203" s="2">
        <v>0</v>
      </c>
      <c r="H203" s="2">
        <v>0</v>
      </c>
      <c r="I203" s="2">
        <v>0</v>
      </c>
      <c r="J203" s="2">
        <v>5</v>
      </c>
      <c r="K203">
        <f>J203+L203</f>
        <v>9</v>
      </c>
      <c r="L203" s="2">
        <v>4</v>
      </c>
      <c r="M203" s="2">
        <v>2</v>
      </c>
      <c r="N203" s="2">
        <v>240</v>
      </c>
      <c r="O203" s="3">
        <f>N203/J203</f>
        <v>48</v>
      </c>
      <c r="P203" s="2">
        <v>2</v>
      </c>
      <c r="Q203" s="2">
        <v>0</v>
      </c>
      <c r="R203" s="2">
        <v>68</v>
      </c>
      <c r="S203" s="2">
        <v>0</v>
      </c>
      <c r="T203" s="2">
        <v>0</v>
      </c>
      <c r="U203" s="2">
        <v>0</v>
      </c>
      <c r="V203" s="2">
        <v>0</v>
      </c>
      <c r="W203" s="3" t="e">
        <f>V203/S203</f>
        <v>#DIV/0!</v>
      </c>
      <c r="X203" s="3" t="e">
        <f>V203/U203</f>
        <v>#DIV/0!</v>
      </c>
      <c r="Y203" s="4" t="e">
        <f>S203*6/U203</f>
        <v>#DIV/0!</v>
      </c>
      <c r="Z203" s="2">
        <v>0</v>
      </c>
      <c r="AA203" s="2">
        <v>0</v>
      </c>
      <c r="AB203" s="2">
        <v>0</v>
      </c>
      <c r="AC203" s="2">
        <v>16</v>
      </c>
    </row>
    <row r="204" spans="1:29" x14ac:dyDescent="0.35">
      <c r="A204" s="1" t="s">
        <v>262</v>
      </c>
      <c r="B204" s="1" t="s">
        <v>190</v>
      </c>
      <c r="C204">
        <f>D204+E204+F204+G204+H204+I204</f>
        <v>3</v>
      </c>
      <c r="D204" s="2">
        <v>0</v>
      </c>
      <c r="E204" s="2">
        <v>3</v>
      </c>
      <c r="F204" s="2">
        <v>0</v>
      </c>
      <c r="G204" s="2">
        <v>0</v>
      </c>
      <c r="H204" s="2">
        <v>0</v>
      </c>
      <c r="I204" s="2">
        <v>0</v>
      </c>
      <c r="J204" s="2">
        <v>3</v>
      </c>
      <c r="K204">
        <f>J204+L204</f>
        <v>3</v>
      </c>
      <c r="L204" s="2">
        <v>0</v>
      </c>
      <c r="M204" s="2">
        <v>0</v>
      </c>
      <c r="N204" s="2">
        <v>19</v>
      </c>
      <c r="O204" s="3">
        <f>N204/J204</f>
        <v>6.333333333333333</v>
      </c>
      <c r="P204" s="2">
        <v>0</v>
      </c>
      <c r="Q204" s="2">
        <v>0</v>
      </c>
      <c r="R204" s="2">
        <v>9</v>
      </c>
      <c r="S204" s="2">
        <v>1</v>
      </c>
      <c r="T204" s="2">
        <v>0</v>
      </c>
      <c r="U204" s="2">
        <v>0</v>
      </c>
      <c r="V204" s="2">
        <v>6</v>
      </c>
      <c r="W204" s="3">
        <f>V204/S204</f>
        <v>6</v>
      </c>
      <c r="X204" s="3" t="e">
        <f>V204/U204</f>
        <v>#DIV/0!</v>
      </c>
      <c r="Y204" s="4" t="e">
        <f>S204*6/U204</f>
        <v>#DIV/0!</v>
      </c>
      <c r="Z204" s="2">
        <v>0</v>
      </c>
      <c r="AA204" s="2">
        <v>0</v>
      </c>
      <c r="AB204" s="2">
        <v>0</v>
      </c>
      <c r="AC204" s="2">
        <v>1</v>
      </c>
    </row>
    <row r="205" spans="1:29" x14ac:dyDescent="0.35">
      <c r="A205" s="1" t="s">
        <v>263</v>
      </c>
      <c r="B205" s="1" t="s">
        <v>240</v>
      </c>
      <c r="C205">
        <f>D205+E205+F205+G205+H205+I205</f>
        <v>18</v>
      </c>
      <c r="D205" s="2">
        <v>0</v>
      </c>
      <c r="E205" s="2">
        <v>0</v>
      </c>
      <c r="F205" s="2">
        <v>7</v>
      </c>
      <c r="G205" s="2">
        <v>9</v>
      </c>
      <c r="H205" s="2">
        <v>0</v>
      </c>
      <c r="I205" s="2">
        <v>2</v>
      </c>
      <c r="J205" s="2">
        <v>21</v>
      </c>
      <c r="K205">
        <f>J205+L205</f>
        <v>21</v>
      </c>
      <c r="L205" s="2">
        <v>0</v>
      </c>
      <c r="M205" s="2">
        <v>0</v>
      </c>
      <c r="N205" s="2">
        <v>181</v>
      </c>
      <c r="O205" s="3">
        <f>N205/J205</f>
        <v>8.6190476190476186</v>
      </c>
      <c r="P205" s="2">
        <v>0</v>
      </c>
      <c r="Q205" s="2">
        <v>0</v>
      </c>
      <c r="R205" s="2">
        <v>28</v>
      </c>
      <c r="S205" s="2">
        <v>17</v>
      </c>
      <c r="T205" s="2">
        <v>1</v>
      </c>
      <c r="U205" s="2">
        <v>1</v>
      </c>
      <c r="V205" s="2">
        <v>72</v>
      </c>
      <c r="W205" s="3">
        <f>V205/S205</f>
        <v>4.2352941176470589</v>
      </c>
      <c r="X205" s="3">
        <f>V205/U205</f>
        <v>72</v>
      </c>
      <c r="Y205" s="4">
        <f>S205*6/U205</f>
        <v>102</v>
      </c>
      <c r="Z205" s="2">
        <v>1</v>
      </c>
      <c r="AA205" s="2">
        <v>0</v>
      </c>
      <c r="AB205" s="2">
        <v>0</v>
      </c>
      <c r="AC205" s="2">
        <v>1</v>
      </c>
    </row>
    <row r="206" spans="1:29" x14ac:dyDescent="0.35">
      <c r="A206" s="1" t="s">
        <v>264</v>
      </c>
      <c r="B206" s="1" t="s">
        <v>265</v>
      </c>
      <c r="C206">
        <f>D206+E206+F206+G206+H206+I206</f>
        <v>7</v>
      </c>
      <c r="D206" s="2">
        <v>0</v>
      </c>
      <c r="E206" s="2">
        <v>0</v>
      </c>
      <c r="F206" s="2">
        <v>0</v>
      </c>
      <c r="G206" s="2">
        <v>7</v>
      </c>
      <c r="H206" s="2">
        <v>0</v>
      </c>
      <c r="I206" s="2">
        <v>0</v>
      </c>
      <c r="J206" s="2">
        <v>5</v>
      </c>
      <c r="K206">
        <f>J206+L206</f>
        <v>5</v>
      </c>
      <c r="L206" s="2">
        <v>0</v>
      </c>
      <c r="M206" s="2">
        <v>2</v>
      </c>
      <c r="N206" s="2">
        <v>73</v>
      </c>
      <c r="O206" s="3">
        <f>N206/J206</f>
        <v>14.6</v>
      </c>
      <c r="P206" s="2">
        <v>0</v>
      </c>
      <c r="Q206" s="2">
        <v>0</v>
      </c>
      <c r="R206" s="2">
        <v>26</v>
      </c>
      <c r="S206" s="2">
        <v>3</v>
      </c>
      <c r="T206" s="2">
        <v>0</v>
      </c>
      <c r="U206" s="2">
        <v>0</v>
      </c>
      <c r="V206" s="2">
        <v>8</v>
      </c>
      <c r="W206" s="3">
        <f>V206/S206</f>
        <v>2.6666666666666665</v>
      </c>
      <c r="X206" s="3" t="e">
        <f>V206/U206</f>
        <v>#DIV/0!</v>
      </c>
      <c r="Y206" s="4" t="e">
        <f>S206*6/U206</f>
        <v>#DIV/0!</v>
      </c>
      <c r="Z206" s="2">
        <v>0</v>
      </c>
      <c r="AA206" s="2">
        <v>0</v>
      </c>
      <c r="AB206" s="2">
        <v>0</v>
      </c>
      <c r="AC206" s="2">
        <v>1</v>
      </c>
    </row>
    <row r="207" spans="1:29" x14ac:dyDescent="0.35">
      <c r="A207" s="1" t="s">
        <v>266</v>
      </c>
      <c r="B207" s="1" t="s">
        <v>32</v>
      </c>
      <c r="C207">
        <f>D207+E207+F207+G207+H207+I207</f>
        <v>1</v>
      </c>
      <c r="D207" s="2">
        <v>0</v>
      </c>
      <c r="E207" s="2">
        <v>0</v>
      </c>
      <c r="F207" s="2">
        <v>1</v>
      </c>
      <c r="G207" s="2">
        <v>0</v>
      </c>
      <c r="H207" s="2">
        <v>0</v>
      </c>
      <c r="I207" s="2">
        <v>0</v>
      </c>
      <c r="J207" s="2">
        <v>1</v>
      </c>
      <c r="K207">
        <f>J207+L207</f>
        <v>1</v>
      </c>
      <c r="L207" s="2">
        <v>0</v>
      </c>
      <c r="M207" s="2">
        <v>0</v>
      </c>
      <c r="N207" s="2">
        <v>15</v>
      </c>
      <c r="O207" s="3">
        <f>N207/J207</f>
        <v>15</v>
      </c>
      <c r="P207" s="2">
        <v>0</v>
      </c>
      <c r="Q207" s="2">
        <v>0</v>
      </c>
      <c r="R207" s="2">
        <v>15</v>
      </c>
      <c r="S207" s="2">
        <v>2</v>
      </c>
      <c r="T207" s="2">
        <v>0</v>
      </c>
      <c r="U207" s="2">
        <v>1</v>
      </c>
      <c r="V207" s="2">
        <v>11</v>
      </c>
      <c r="W207" s="3">
        <f>V207/S207</f>
        <v>5.5</v>
      </c>
      <c r="X207" s="3">
        <f>V207/U207</f>
        <v>11</v>
      </c>
      <c r="Y207" s="4">
        <f>S207*6/U207</f>
        <v>12</v>
      </c>
      <c r="Z207" s="2">
        <v>1</v>
      </c>
      <c r="AA207" s="2">
        <v>0</v>
      </c>
      <c r="AB207" s="2">
        <v>0</v>
      </c>
      <c r="AC207" s="2">
        <v>0</v>
      </c>
    </row>
    <row r="208" spans="1:29" x14ac:dyDescent="0.35">
      <c r="A208" s="1" t="s">
        <v>267</v>
      </c>
      <c r="B208" s="1" t="s">
        <v>268</v>
      </c>
      <c r="C208">
        <f>D208+E208+F208+G208+H208+I208</f>
        <v>11</v>
      </c>
      <c r="D208" s="2">
        <v>0</v>
      </c>
      <c r="E208" s="2">
        <v>0</v>
      </c>
      <c r="F208" s="2">
        <v>0</v>
      </c>
      <c r="G208" s="2">
        <v>10</v>
      </c>
      <c r="H208" s="2">
        <v>1</v>
      </c>
      <c r="I208" s="2">
        <v>0</v>
      </c>
      <c r="J208" s="2">
        <v>9</v>
      </c>
      <c r="K208">
        <f>J208+L208</f>
        <v>11</v>
      </c>
      <c r="L208" s="2">
        <v>2</v>
      </c>
      <c r="M208" s="2">
        <v>0</v>
      </c>
      <c r="N208" s="2">
        <v>246</v>
      </c>
      <c r="O208" s="3">
        <f>N208/J208</f>
        <v>27.333333333333332</v>
      </c>
      <c r="P208" s="2">
        <v>0</v>
      </c>
      <c r="Q208" s="2">
        <v>0</v>
      </c>
      <c r="R208" s="2">
        <v>48</v>
      </c>
      <c r="S208" s="2">
        <v>0</v>
      </c>
      <c r="T208" s="2">
        <v>0</v>
      </c>
      <c r="U208" s="2">
        <v>0</v>
      </c>
      <c r="V208" s="2">
        <v>0</v>
      </c>
      <c r="W208" s="3" t="e">
        <f>V208/S208</f>
        <v>#DIV/0!</v>
      </c>
      <c r="X208" s="3" t="e">
        <f>V208/U208</f>
        <v>#DIV/0!</v>
      </c>
      <c r="Y208" s="4" t="e">
        <f>S208*6/U208</f>
        <v>#DIV/0!</v>
      </c>
      <c r="Z208" s="2">
        <v>0</v>
      </c>
      <c r="AA208" s="2">
        <v>0</v>
      </c>
      <c r="AB208" s="2">
        <v>0</v>
      </c>
      <c r="AC208" s="2">
        <v>0</v>
      </c>
    </row>
    <row r="209" spans="1:29" x14ac:dyDescent="0.35">
      <c r="A209" s="18" t="s">
        <v>1430</v>
      </c>
      <c r="B209" s="18" t="s">
        <v>1431</v>
      </c>
      <c r="C209" s="18">
        <f>D209+E209+F209+G209+H209+I209</f>
        <v>9</v>
      </c>
      <c r="D209" s="21">
        <v>0</v>
      </c>
      <c r="E209" s="21">
        <v>0</v>
      </c>
      <c r="F209" s="21">
        <v>0</v>
      </c>
      <c r="G209" s="21">
        <v>1</v>
      </c>
      <c r="H209" s="21">
        <v>8</v>
      </c>
      <c r="I209" s="21">
        <v>0</v>
      </c>
      <c r="J209" s="21">
        <v>6</v>
      </c>
      <c r="K209" s="18">
        <f>J209+L209</f>
        <v>8</v>
      </c>
      <c r="L209" s="21">
        <v>2</v>
      </c>
      <c r="M209" s="21">
        <v>1</v>
      </c>
      <c r="N209" s="21">
        <v>69</v>
      </c>
      <c r="O209" s="19">
        <f>N209/J209</f>
        <v>11.5</v>
      </c>
      <c r="P209" s="21">
        <v>0</v>
      </c>
      <c r="Q209" s="21">
        <v>0</v>
      </c>
      <c r="R209" s="18">
        <v>24</v>
      </c>
      <c r="S209" s="18">
        <f>3+38.1</f>
        <v>41.1</v>
      </c>
      <c r="T209" s="18">
        <v>0</v>
      </c>
      <c r="U209" s="18">
        <v>5</v>
      </c>
      <c r="V209" s="18">
        <f>25+178</f>
        <v>203</v>
      </c>
      <c r="W209" s="19">
        <f>V209/S209</f>
        <v>4.9391727493917275</v>
      </c>
      <c r="X209" s="19">
        <v>0</v>
      </c>
      <c r="Y209" s="19">
        <v>0</v>
      </c>
      <c r="Z209" s="18" t="s">
        <v>1361</v>
      </c>
      <c r="AA209" s="18">
        <v>0</v>
      </c>
      <c r="AB209" s="18">
        <v>0</v>
      </c>
      <c r="AC209" s="18">
        <v>1</v>
      </c>
    </row>
    <row r="210" spans="1:29" x14ac:dyDescent="0.35">
      <c r="A210" s="26" t="s">
        <v>1255</v>
      </c>
      <c r="B210" s="26" t="s">
        <v>265</v>
      </c>
      <c r="C210" s="18">
        <f>D210+E210+F210+G210+H210+I210</f>
        <v>48</v>
      </c>
      <c r="D210" s="21">
        <v>0</v>
      </c>
      <c r="E210" s="21">
        <v>2</v>
      </c>
      <c r="F210" s="21">
        <v>6</v>
      </c>
      <c r="G210" s="21">
        <v>26</v>
      </c>
      <c r="H210" s="21">
        <v>14</v>
      </c>
      <c r="I210" s="21">
        <v>0</v>
      </c>
      <c r="J210" s="21">
        <v>22</v>
      </c>
      <c r="K210" s="18">
        <f>J210+L210</f>
        <v>36</v>
      </c>
      <c r="L210" s="21">
        <v>14</v>
      </c>
      <c r="M210" s="21">
        <v>9</v>
      </c>
      <c r="N210" s="21">
        <f>158+149</f>
        <v>307</v>
      </c>
      <c r="O210" s="19">
        <f>N210/J210</f>
        <v>13.954545454545455</v>
      </c>
      <c r="P210" s="21">
        <v>1</v>
      </c>
      <c r="Q210" s="21">
        <v>0</v>
      </c>
      <c r="R210" s="37">
        <v>50</v>
      </c>
      <c r="S210" s="37">
        <f>175.1+68</f>
        <v>243.1</v>
      </c>
      <c r="T210" s="37">
        <v>33</v>
      </c>
      <c r="U210" s="37">
        <f>31+14</f>
        <v>45</v>
      </c>
      <c r="V210" s="37">
        <f>646+332</f>
        <v>978</v>
      </c>
      <c r="W210" s="19">
        <f>V210/S210</f>
        <v>4.0230357877416703</v>
      </c>
      <c r="X210" s="19">
        <f>V210/U210</f>
        <v>21.733333333333334</v>
      </c>
      <c r="Y210" s="19">
        <f>42/1</f>
        <v>42</v>
      </c>
      <c r="Z210" s="37" t="s">
        <v>1208</v>
      </c>
      <c r="AA210" s="21">
        <v>0</v>
      </c>
      <c r="AB210" s="21">
        <v>0</v>
      </c>
      <c r="AC210" s="21">
        <v>4</v>
      </c>
    </row>
    <row r="211" spans="1:29" x14ac:dyDescent="0.35">
      <c r="A211" s="1" t="s">
        <v>269</v>
      </c>
      <c r="B211" s="1" t="s">
        <v>270</v>
      </c>
      <c r="C211">
        <f>D211+E211+F211+G211+H211+I211</f>
        <v>1</v>
      </c>
      <c r="D211" s="2">
        <v>0</v>
      </c>
      <c r="E211" s="2">
        <v>0</v>
      </c>
      <c r="F211" s="2">
        <v>1</v>
      </c>
      <c r="G211" s="2">
        <v>0</v>
      </c>
      <c r="H211" s="2">
        <v>0</v>
      </c>
      <c r="I211" s="2">
        <v>0</v>
      </c>
      <c r="J211" s="2">
        <v>1</v>
      </c>
      <c r="K211">
        <f>J211+L211</f>
        <v>1</v>
      </c>
      <c r="L211" s="2">
        <v>0</v>
      </c>
      <c r="M211" s="2">
        <v>0</v>
      </c>
      <c r="N211" s="2">
        <v>4</v>
      </c>
      <c r="O211" s="3">
        <f>N211/J211</f>
        <v>4</v>
      </c>
      <c r="P211" s="2">
        <v>0</v>
      </c>
      <c r="Q211" s="2">
        <v>0</v>
      </c>
      <c r="R211" s="2">
        <v>4</v>
      </c>
      <c r="S211" s="2">
        <v>0</v>
      </c>
      <c r="T211" s="2">
        <v>0</v>
      </c>
      <c r="U211" s="2">
        <v>0</v>
      </c>
      <c r="V211" s="2">
        <v>0</v>
      </c>
      <c r="W211" s="3" t="e">
        <f>V211/S211</f>
        <v>#DIV/0!</v>
      </c>
      <c r="X211" s="3" t="e">
        <f>V211/U211</f>
        <v>#DIV/0!</v>
      </c>
      <c r="Y211" s="4" t="e">
        <f>S211*6/U211</f>
        <v>#DIV/0!</v>
      </c>
      <c r="Z211" s="2">
        <v>0</v>
      </c>
      <c r="AA211" s="2">
        <v>0</v>
      </c>
      <c r="AB211" s="2">
        <v>0</v>
      </c>
      <c r="AC211" s="2">
        <v>0</v>
      </c>
    </row>
    <row r="212" spans="1:29" x14ac:dyDescent="0.35">
      <c r="A212" s="1" t="s">
        <v>271</v>
      </c>
      <c r="B212" s="1" t="s">
        <v>272</v>
      </c>
      <c r="C212">
        <f>D212+E212+F212+G212+H212+I212</f>
        <v>51</v>
      </c>
      <c r="D212" s="2">
        <v>45</v>
      </c>
      <c r="E212" s="2">
        <v>6</v>
      </c>
      <c r="F212" s="2">
        <v>0</v>
      </c>
      <c r="G212" s="2">
        <v>0</v>
      </c>
      <c r="H212" s="2">
        <v>0</v>
      </c>
      <c r="I212" s="2">
        <v>0</v>
      </c>
      <c r="J212" s="2">
        <v>19</v>
      </c>
      <c r="K212">
        <f>J212+L212</f>
        <v>35</v>
      </c>
      <c r="L212" s="2">
        <v>16</v>
      </c>
      <c r="M212" s="2">
        <v>20</v>
      </c>
      <c r="N212" s="2">
        <v>178</v>
      </c>
      <c r="O212" s="3">
        <f>N212/J212</f>
        <v>9.3684210526315788</v>
      </c>
      <c r="P212" s="2">
        <v>0</v>
      </c>
      <c r="Q212" s="2">
        <v>0</v>
      </c>
      <c r="R212" s="2">
        <v>43</v>
      </c>
      <c r="S212" s="2">
        <v>419</v>
      </c>
      <c r="T212" s="2">
        <v>89</v>
      </c>
      <c r="U212" s="2">
        <v>71</v>
      </c>
      <c r="V212" s="2">
        <f>1276+29</f>
        <v>1305</v>
      </c>
      <c r="W212" s="3">
        <f>V212/S212</f>
        <v>3.1145584725536994</v>
      </c>
      <c r="X212" s="3">
        <f>V212/U212</f>
        <v>18.380281690140844</v>
      </c>
      <c r="Y212" s="4">
        <f>S212*6/U212</f>
        <v>35.408450704225352</v>
      </c>
      <c r="Z212" s="2">
        <v>4</v>
      </c>
      <c r="AA212" s="2">
        <v>0</v>
      </c>
      <c r="AB212" s="2">
        <v>0</v>
      </c>
      <c r="AC212" s="2">
        <v>5</v>
      </c>
    </row>
    <row r="213" spans="1:29" x14ac:dyDescent="0.35">
      <c r="A213" s="1" t="s">
        <v>273</v>
      </c>
      <c r="B213" s="1" t="s">
        <v>106</v>
      </c>
      <c r="C213">
        <f>D213+E213+F213+G213+H213+I213</f>
        <v>1</v>
      </c>
      <c r="D213" s="2">
        <v>0</v>
      </c>
      <c r="E213" s="2">
        <v>0</v>
      </c>
      <c r="F213" s="2">
        <v>1</v>
      </c>
      <c r="G213" s="2">
        <v>0</v>
      </c>
      <c r="H213" s="2">
        <v>0</v>
      </c>
      <c r="I213" s="2">
        <v>0</v>
      </c>
      <c r="J213" s="2">
        <v>1</v>
      </c>
      <c r="K213">
        <f>J213+L213</f>
        <v>1</v>
      </c>
      <c r="L213" s="2">
        <v>0</v>
      </c>
      <c r="M213" s="2">
        <v>0</v>
      </c>
      <c r="N213" s="2">
        <v>7</v>
      </c>
      <c r="O213" s="3">
        <f>N213/J213</f>
        <v>7</v>
      </c>
      <c r="P213" s="2">
        <v>0</v>
      </c>
      <c r="Q213" s="2">
        <v>0</v>
      </c>
      <c r="R213" s="2">
        <v>7</v>
      </c>
      <c r="S213" s="2">
        <v>0</v>
      </c>
      <c r="T213" s="2">
        <v>0</v>
      </c>
      <c r="U213" s="2">
        <v>0</v>
      </c>
      <c r="V213" s="2">
        <v>0</v>
      </c>
      <c r="W213" s="3" t="e">
        <f>V213/S213</f>
        <v>#DIV/0!</v>
      </c>
      <c r="X213" s="3" t="e">
        <f>V213/U213</f>
        <v>#DIV/0!</v>
      </c>
      <c r="Y213" s="4" t="e">
        <f>S213*6/U213</f>
        <v>#DIV/0!</v>
      </c>
      <c r="Z213" s="2">
        <v>0</v>
      </c>
      <c r="AA213" s="2">
        <v>0</v>
      </c>
      <c r="AB213" s="2">
        <v>0</v>
      </c>
      <c r="AC213" s="2">
        <v>0</v>
      </c>
    </row>
    <row r="214" spans="1:29" x14ac:dyDescent="0.35">
      <c r="A214" s="1" t="s">
        <v>274</v>
      </c>
      <c r="B214" s="1" t="s">
        <v>127</v>
      </c>
      <c r="C214">
        <f>D214+E214+F214+G214+H214+I214</f>
        <v>1</v>
      </c>
      <c r="D214" s="2">
        <v>0</v>
      </c>
      <c r="E214" s="2">
        <v>0</v>
      </c>
      <c r="F214" s="2">
        <v>0</v>
      </c>
      <c r="G214" s="2">
        <v>1</v>
      </c>
      <c r="H214" s="2">
        <v>0</v>
      </c>
      <c r="I214" s="2">
        <v>0</v>
      </c>
      <c r="J214" s="2">
        <v>0</v>
      </c>
      <c r="K214">
        <f>J214+L214</f>
        <v>0</v>
      </c>
      <c r="L214" s="2">
        <v>0</v>
      </c>
      <c r="M214" s="2">
        <v>1</v>
      </c>
      <c r="N214" s="2">
        <v>0</v>
      </c>
      <c r="O214" s="3" t="e">
        <f>N214/J214</f>
        <v>#DIV/0!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3" t="e">
        <f>V214/S214</f>
        <v>#DIV/0!</v>
      </c>
      <c r="X214" s="3" t="e">
        <f>V214/U214</f>
        <v>#DIV/0!</v>
      </c>
      <c r="Y214" s="4" t="e">
        <f>S214*6/U214</f>
        <v>#DIV/0!</v>
      </c>
      <c r="Z214" s="2">
        <v>0</v>
      </c>
      <c r="AA214" s="2">
        <v>0</v>
      </c>
      <c r="AB214" s="2">
        <v>0</v>
      </c>
      <c r="AC214" s="2">
        <v>3</v>
      </c>
    </row>
    <row r="215" spans="1:29" x14ac:dyDescent="0.35">
      <c r="A215" s="1" t="s">
        <v>275</v>
      </c>
      <c r="B215" s="1" t="s">
        <v>96</v>
      </c>
      <c r="C215">
        <f>D215+E215+F215+G215+H215+I215</f>
        <v>7</v>
      </c>
      <c r="D215" s="2">
        <v>7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7</v>
      </c>
      <c r="K215">
        <f>J215+L215</f>
        <v>7</v>
      </c>
      <c r="L215" s="2">
        <v>0</v>
      </c>
      <c r="M215" s="2">
        <v>0</v>
      </c>
      <c r="N215" s="2">
        <v>201</v>
      </c>
      <c r="O215" s="3">
        <f>N215/J215</f>
        <v>28.714285714285715</v>
      </c>
      <c r="P215" s="2">
        <v>1</v>
      </c>
      <c r="Q215" s="2">
        <v>0</v>
      </c>
      <c r="R215" s="2">
        <v>84</v>
      </c>
      <c r="S215" s="2">
        <v>0</v>
      </c>
      <c r="T215" s="2">
        <v>0</v>
      </c>
      <c r="U215" s="2">
        <v>0</v>
      </c>
      <c r="V215" s="2">
        <v>0</v>
      </c>
      <c r="W215" s="3" t="e">
        <f>V215/S215</f>
        <v>#DIV/0!</v>
      </c>
      <c r="X215" s="3" t="e">
        <f>V215/U215</f>
        <v>#DIV/0!</v>
      </c>
      <c r="Y215" s="4" t="e">
        <f>S215*6/U215</f>
        <v>#DIV/0!</v>
      </c>
      <c r="Z215" s="2">
        <v>0</v>
      </c>
      <c r="AA215" s="2">
        <v>0</v>
      </c>
      <c r="AB215" s="2">
        <v>0</v>
      </c>
      <c r="AC215" s="2">
        <v>9</v>
      </c>
    </row>
    <row r="216" spans="1:29" x14ac:dyDescent="0.35">
      <c r="A216" s="1" t="s">
        <v>276</v>
      </c>
      <c r="B216" s="1" t="s">
        <v>277</v>
      </c>
      <c r="C216">
        <f>D216+E216+F216+G216+H216+I216</f>
        <v>22</v>
      </c>
      <c r="D216" s="2">
        <v>16</v>
      </c>
      <c r="E216" s="2">
        <v>5</v>
      </c>
      <c r="F216" s="2">
        <v>1</v>
      </c>
      <c r="G216" s="2">
        <v>0</v>
      </c>
      <c r="H216" s="2">
        <v>0</v>
      </c>
      <c r="I216" s="2">
        <v>0</v>
      </c>
      <c r="J216" s="2">
        <v>6</v>
      </c>
      <c r="K216">
        <f>J216+L216</f>
        <v>10</v>
      </c>
      <c r="L216" s="2">
        <v>4</v>
      </c>
      <c r="M216" s="2">
        <v>13</v>
      </c>
      <c r="N216" s="2">
        <v>23</v>
      </c>
      <c r="O216" s="3">
        <f>N216/J216</f>
        <v>3.8333333333333335</v>
      </c>
      <c r="P216" s="2">
        <v>0</v>
      </c>
      <c r="Q216" s="2">
        <v>0</v>
      </c>
      <c r="R216" s="2">
        <v>5</v>
      </c>
      <c r="S216" s="2">
        <v>320</v>
      </c>
      <c r="T216" s="2">
        <v>76</v>
      </c>
      <c r="U216" s="2">
        <v>49</v>
      </c>
      <c r="V216" s="2">
        <v>860</v>
      </c>
      <c r="W216" s="3">
        <f>V216/S216</f>
        <v>2.6875</v>
      </c>
      <c r="X216" s="3">
        <f>V216/U216</f>
        <v>17.551020408163264</v>
      </c>
      <c r="Y216" s="4">
        <f>S216*6/U216</f>
        <v>39.183673469387756</v>
      </c>
      <c r="Z216" s="2">
        <v>5</v>
      </c>
      <c r="AA216" s="2">
        <v>1</v>
      </c>
      <c r="AB216" s="2">
        <v>0</v>
      </c>
      <c r="AC216" s="2">
        <v>1</v>
      </c>
    </row>
    <row r="217" spans="1:29" x14ac:dyDescent="0.35">
      <c r="A217" s="1" t="s">
        <v>278</v>
      </c>
      <c r="B217" s="1" t="s">
        <v>279</v>
      </c>
      <c r="C217">
        <f>D217+E217+F217+G217+H217+I217</f>
        <v>3</v>
      </c>
      <c r="D217" s="2">
        <v>0</v>
      </c>
      <c r="E217" s="2">
        <v>0</v>
      </c>
      <c r="F217" s="2">
        <v>0</v>
      </c>
      <c r="G217" s="2">
        <v>2</v>
      </c>
      <c r="H217" s="2">
        <v>0</v>
      </c>
      <c r="I217" s="2">
        <v>1</v>
      </c>
      <c r="J217" s="2">
        <v>4</v>
      </c>
      <c r="K217">
        <f>J217+L217</f>
        <v>4</v>
      </c>
      <c r="L217" s="2">
        <v>0</v>
      </c>
      <c r="M217" s="2">
        <v>0</v>
      </c>
      <c r="N217" s="2">
        <v>12</v>
      </c>
      <c r="O217" s="3">
        <f>N217/J217</f>
        <v>3</v>
      </c>
      <c r="P217" s="2">
        <v>0</v>
      </c>
      <c r="Q217" s="2">
        <v>0</v>
      </c>
      <c r="R217" s="2">
        <v>7</v>
      </c>
      <c r="S217" s="2">
        <v>6</v>
      </c>
      <c r="T217" s="2">
        <v>0</v>
      </c>
      <c r="U217" s="2">
        <v>0</v>
      </c>
      <c r="V217" s="2">
        <v>25</v>
      </c>
      <c r="W217" s="3">
        <f>V217/S217</f>
        <v>4.166666666666667</v>
      </c>
      <c r="X217" s="3" t="e">
        <f>V217/U217</f>
        <v>#DIV/0!</v>
      </c>
      <c r="Y217" s="4" t="e">
        <f>S217*6/U217</f>
        <v>#DIV/0!</v>
      </c>
      <c r="Z217" s="2">
        <v>0</v>
      </c>
      <c r="AA217" s="2">
        <v>0</v>
      </c>
      <c r="AB217" s="2">
        <v>0</v>
      </c>
      <c r="AC217" s="2">
        <v>0</v>
      </c>
    </row>
    <row r="218" spans="1:29" x14ac:dyDescent="0.35">
      <c r="A218" s="1" t="s">
        <v>280</v>
      </c>
      <c r="B218" s="1" t="s">
        <v>41</v>
      </c>
      <c r="C218">
        <f>D218+E218+F218+G218+H218+I218</f>
        <v>249</v>
      </c>
      <c r="D218" s="2">
        <v>202</v>
      </c>
      <c r="E218" s="2">
        <v>32</v>
      </c>
      <c r="F218" s="2">
        <v>9</v>
      </c>
      <c r="G218" s="2">
        <v>2</v>
      </c>
      <c r="H218" s="2">
        <v>2</v>
      </c>
      <c r="I218" s="2">
        <v>2</v>
      </c>
      <c r="J218" s="2">
        <v>229</v>
      </c>
      <c r="K218">
        <f>J218+L218</f>
        <v>245</v>
      </c>
      <c r="L218" s="2">
        <v>16</v>
      </c>
      <c r="M218" s="2">
        <v>14</v>
      </c>
      <c r="N218" s="2">
        <v>5548</v>
      </c>
      <c r="O218" s="3">
        <f>N218/J218</f>
        <v>24.227074235807859</v>
      </c>
      <c r="P218" s="2">
        <v>33</v>
      </c>
      <c r="Q218" s="2">
        <v>1</v>
      </c>
      <c r="R218" s="2">
        <v>101</v>
      </c>
      <c r="S218" s="2">
        <v>1566</v>
      </c>
      <c r="T218" s="2">
        <v>270</v>
      </c>
      <c r="U218" s="2">
        <v>218</v>
      </c>
      <c r="V218" s="2">
        <v>4834</v>
      </c>
      <c r="W218" s="3">
        <f>V218/S218</f>
        <v>3.0868454661558111</v>
      </c>
      <c r="X218" s="3">
        <f>V218/U218</f>
        <v>22.174311926605505</v>
      </c>
      <c r="Y218" s="4">
        <f>S218*6/U218</f>
        <v>43.100917431192663</v>
      </c>
      <c r="Z218" s="2">
        <v>7</v>
      </c>
      <c r="AA218" s="2">
        <v>5</v>
      </c>
      <c r="AB218" s="2">
        <v>0</v>
      </c>
      <c r="AC218" s="2">
        <v>91</v>
      </c>
    </row>
    <row r="219" spans="1:29" x14ac:dyDescent="0.35">
      <c r="A219" s="1" t="s">
        <v>280</v>
      </c>
      <c r="B219" s="1" t="s">
        <v>281</v>
      </c>
      <c r="C219">
        <f>D219+E219+F219+G219+H219+I219</f>
        <v>259</v>
      </c>
      <c r="D219" s="2">
        <v>216</v>
      </c>
      <c r="E219" s="2">
        <v>33</v>
      </c>
      <c r="F219" s="2">
        <v>1</v>
      </c>
      <c r="G219" s="2">
        <v>3</v>
      </c>
      <c r="H219" s="2">
        <v>4</v>
      </c>
      <c r="I219" s="2">
        <v>2</v>
      </c>
      <c r="J219" s="2">
        <v>191</v>
      </c>
      <c r="K219">
        <f>J219+L219</f>
        <v>237</v>
      </c>
      <c r="L219" s="2">
        <v>46</v>
      </c>
      <c r="M219" s="2">
        <v>28</v>
      </c>
      <c r="N219" s="2">
        <v>3914</v>
      </c>
      <c r="O219" s="3">
        <f>N219/J219</f>
        <v>20.492146596858639</v>
      </c>
      <c r="P219" s="2">
        <v>9</v>
      </c>
      <c r="Q219" s="2">
        <v>2</v>
      </c>
      <c r="R219" s="2">
        <v>123</v>
      </c>
      <c r="S219" s="2">
        <v>1272</v>
      </c>
      <c r="T219" s="2">
        <v>283</v>
      </c>
      <c r="U219" s="2">
        <v>136</v>
      </c>
      <c r="V219" s="2">
        <v>3789</v>
      </c>
      <c r="W219" s="3">
        <f>V219/S219</f>
        <v>2.9787735849056602</v>
      </c>
      <c r="X219" s="3">
        <f>V219/U219</f>
        <v>27.860294117647058</v>
      </c>
      <c r="Y219" s="4">
        <f>S219*6/U219</f>
        <v>56.117647058823529</v>
      </c>
      <c r="Z219" s="2">
        <v>5</v>
      </c>
      <c r="AA219" s="2">
        <v>1</v>
      </c>
      <c r="AB219" s="2">
        <v>0</v>
      </c>
      <c r="AC219" s="2">
        <v>90</v>
      </c>
    </row>
    <row r="220" spans="1:29" x14ac:dyDescent="0.35">
      <c r="A220" s="1" t="s">
        <v>282</v>
      </c>
      <c r="B220" s="1" t="s">
        <v>8</v>
      </c>
      <c r="C220">
        <f>D220+E220+F220+G220+H220+I220</f>
        <v>1</v>
      </c>
      <c r="D220" s="2">
        <v>0</v>
      </c>
      <c r="E220" s="2">
        <v>0</v>
      </c>
      <c r="F220" s="2">
        <v>0</v>
      </c>
      <c r="G220" s="2">
        <v>1</v>
      </c>
      <c r="H220" s="2">
        <v>0</v>
      </c>
      <c r="I220" s="2">
        <v>0</v>
      </c>
      <c r="J220" s="2">
        <v>1</v>
      </c>
      <c r="K220">
        <f>J220+L220</f>
        <v>1</v>
      </c>
      <c r="L220" s="2">
        <v>0</v>
      </c>
      <c r="M220" s="2">
        <v>0</v>
      </c>
      <c r="N220" s="2">
        <v>3</v>
      </c>
      <c r="O220" s="3">
        <f>N220/J220</f>
        <v>3</v>
      </c>
      <c r="P220" s="2">
        <v>0</v>
      </c>
      <c r="Q220" s="2">
        <v>0</v>
      </c>
      <c r="R220" s="2">
        <v>3</v>
      </c>
      <c r="S220" s="2">
        <v>0</v>
      </c>
      <c r="T220" s="2">
        <v>0</v>
      </c>
      <c r="U220" s="2">
        <v>0</v>
      </c>
      <c r="V220" s="2">
        <v>0</v>
      </c>
      <c r="W220" s="3" t="e">
        <f>V220/S220</f>
        <v>#DIV/0!</v>
      </c>
      <c r="X220" s="3" t="e">
        <f>V220/U220</f>
        <v>#DIV/0!</v>
      </c>
      <c r="Y220" s="4" t="e">
        <f>S220*6/U220</f>
        <v>#DIV/0!</v>
      </c>
      <c r="Z220" s="2">
        <v>0</v>
      </c>
      <c r="AA220" s="2">
        <v>0</v>
      </c>
      <c r="AB220" s="2">
        <v>0</v>
      </c>
      <c r="AC220" s="2">
        <v>0</v>
      </c>
    </row>
    <row r="221" spans="1:29" x14ac:dyDescent="0.35">
      <c r="A221" s="1" t="s">
        <v>283</v>
      </c>
      <c r="B221" s="34" t="s">
        <v>285</v>
      </c>
      <c r="C221">
        <f>D221+E221+F221+G221+H221+I221</f>
        <v>43</v>
      </c>
      <c r="D221" s="5">
        <v>43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37</v>
      </c>
      <c r="K221">
        <f>J221+L221</f>
        <v>43</v>
      </c>
      <c r="L221" s="5">
        <v>6</v>
      </c>
      <c r="M221" s="5">
        <v>0</v>
      </c>
      <c r="N221" s="5">
        <v>651</v>
      </c>
      <c r="O221" s="3">
        <f>N221/J221</f>
        <v>17.594594594594593</v>
      </c>
      <c r="P221" s="5">
        <v>4</v>
      </c>
      <c r="Q221" s="5">
        <v>0</v>
      </c>
      <c r="R221" s="40">
        <v>60</v>
      </c>
      <c r="S221" s="40">
        <v>0</v>
      </c>
      <c r="T221" s="40">
        <v>0</v>
      </c>
      <c r="U221" s="40">
        <v>0</v>
      </c>
      <c r="V221" s="40">
        <v>0</v>
      </c>
      <c r="W221" s="3" t="e">
        <f>V221/S221</f>
        <v>#DIV/0!</v>
      </c>
      <c r="X221" s="3" t="e">
        <f>V221/U221</f>
        <v>#DIV/0!</v>
      </c>
      <c r="Y221" s="4" t="e">
        <f>S221*6/U221</f>
        <v>#DIV/0!</v>
      </c>
      <c r="Z221" s="40">
        <v>0</v>
      </c>
      <c r="AA221" s="5">
        <v>0</v>
      </c>
      <c r="AB221" s="5">
        <v>0</v>
      </c>
      <c r="AC221" s="5">
        <v>26</v>
      </c>
    </row>
    <row r="222" spans="1:29" x14ac:dyDescent="0.35">
      <c r="A222" s="1" t="s">
        <v>283</v>
      </c>
      <c r="B222" s="1" t="s">
        <v>284</v>
      </c>
      <c r="C222">
        <f>D222+E222+F222+G222+H222+I222</f>
        <v>28</v>
      </c>
      <c r="D222" s="2">
        <v>14</v>
      </c>
      <c r="E222" s="2">
        <v>14</v>
      </c>
      <c r="F222" s="2">
        <v>0</v>
      </c>
      <c r="G222" s="2">
        <v>0</v>
      </c>
      <c r="H222" s="2">
        <v>0</v>
      </c>
      <c r="I222" s="2">
        <v>0</v>
      </c>
      <c r="J222" s="2">
        <v>23</v>
      </c>
      <c r="K222">
        <f>J222+L222</f>
        <v>25</v>
      </c>
      <c r="L222" s="2">
        <v>2</v>
      </c>
      <c r="M222" s="2">
        <v>3</v>
      </c>
      <c r="N222" s="2">
        <f>163+308</f>
        <v>471</v>
      </c>
      <c r="O222" s="3">
        <f>N222/J222</f>
        <v>20.478260869565219</v>
      </c>
      <c r="P222" s="2">
        <v>0</v>
      </c>
      <c r="Q222" s="2">
        <v>1</v>
      </c>
      <c r="R222" s="2">
        <v>107</v>
      </c>
      <c r="S222" s="2">
        <v>7</v>
      </c>
      <c r="T222" s="2">
        <v>1</v>
      </c>
      <c r="U222" s="2">
        <v>0</v>
      </c>
      <c r="V222" s="2">
        <v>26</v>
      </c>
      <c r="W222" s="3">
        <f>V222/S222</f>
        <v>3.7142857142857144</v>
      </c>
      <c r="X222" s="3" t="e">
        <f>V222/U222</f>
        <v>#DIV/0!</v>
      </c>
      <c r="Y222" s="4" t="e">
        <f>S222*6/U222</f>
        <v>#DIV/0!</v>
      </c>
      <c r="Z222" s="2">
        <v>0</v>
      </c>
      <c r="AA222" s="2">
        <v>0</v>
      </c>
      <c r="AB222" s="2">
        <v>0</v>
      </c>
      <c r="AC222" s="2">
        <v>14</v>
      </c>
    </row>
    <row r="223" spans="1:29" x14ac:dyDescent="0.35">
      <c r="A223" s="1" t="s">
        <v>283</v>
      </c>
      <c r="B223" s="1" t="s">
        <v>288</v>
      </c>
      <c r="C223">
        <f>D223+E223+F223+G223+H223+I223</f>
        <v>34</v>
      </c>
      <c r="D223" s="2">
        <v>3</v>
      </c>
      <c r="E223" s="2">
        <v>14</v>
      </c>
      <c r="F223" s="2">
        <v>3</v>
      </c>
      <c r="G223" s="2">
        <v>14</v>
      </c>
      <c r="H223" s="2">
        <v>0</v>
      </c>
      <c r="I223" s="2">
        <v>0</v>
      </c>
      <c r="J223" s="2">
        <v>22</v>
      </c>
      <c r="K223">
        <f>J223+L223</f>
        <v>26</v>
      </c>
      <c r="L223" s="2">
        <v>4</v>
      </c>
      <c r="M223" s="2">
        <v>9</v>
      </c>
      <c r="N223" s="2">
        <f>534+168</f>
        <v>702</v>
      </c>
      <c r="O223" s="3">
        <f>N223/J223</f>
        <v>31.90909090909091</v>
      </c>
      <c r="P223" s="2">
        <v>3</v>
      </c>
      <c r="Q223" s="2">
        <v>1</v>
      </c>
      <c r="R223" s="2" t="s">
        <v>1377</v>
      </c>
      <c r="S223" s="2">
        <f>99.3+6</f>
        <v>105.3</v>
      </c>
      <c r="T223" s="2">
        <v>16</v>
      </c>
      <c r="U223" s="2">
        <v>18</v>
      </c>
      <c r="V223" s="2">
        <f>296+36</f>
        <v>332</v>
      </c>
      <c r="W223" s="3">
        <f>V223/S223</f>
        <v>3.1528964862298197</v>
      </c>
      <c r="X223" s="3">
        <f>V223/U223</f>
        <v>18.444444444444443</v>
      </c>
      <c r="Y223" s="4">
        <f>S223*6/U223</f>
        <v>35.099999999999994</v>
      </c>
      <c r="Z223" s="35" t="s">
        <v>1361</v>
      </c>
      <c r="AA223" s="2">
        <v>0</v>
      </c>
      <c r="AB223" s="2">
        <v>0</v>
      </c>
      <c r="AC223" s="2">
        <v>7</v>
      </c>
    </row>
    <row r="224" spans="1:29" x14ac:dyDescent="0.35">
      <c r="A224" s="1" t="s">
        <v>283</v>
      </c>
      <c r="B224" s="1" t="s">
        <v>286</v>
      </c>
      <c r="C224">
        <f>D224+E224+F224+G224+H224+I224</f>
        <v>12</v>
      </c>
      <c r="D224" s="2">
        <v>0</v>
      </c>
      <c r="E224" s="2">
        <v>12</v>
      </c>
      <c r="F224" s="2">
        <v>0</v>
      </c>
      <c r="G224" s="2">
        <v>0</v>
      </c>
      <c r="H224" s="2">
        <v>0</v>
      </c>
      <c r="I224" s="2">
        <v>0</v>
      </c>
      <c r="J224" s="2">
        <v>12</v>
      </c>
      <c r="K224">
        <f>J224+L224</f>
        <v>12</v>
      </c>
      <c r="L224" s="2">
        <v>0</v>
      </c>
      <c r="M224" s="2">
        <v>0</v>
      </c>
      <c r="N224" s="2">
        <v>231</v>
      </c>
      <c r="O224" s="3">
        <f>N224/J224</f>
        <v>19.25</v>
      </c>
      <c r="P224" s="2">
        <v>0</v>
      </c>
      <c r="Q224" s="2">
        <v>0</v>
      </c>
      <c r="R224" s="2">
        <v>45</v>
      </c>
      <c r="S224" s="2">
        <v>49</v>
      </c>
      <c r="T224" s="2">
        <v>6</v>
      </c>
      <c r="U224" s="2">
        <v>8</v>
      </c>
      <c r="V224" s="2">
        <v>194</v>
      </c>
      <c r="W224" s="3">
        <f>V224/S224</f>
        <v>3.9591836734693877</v>
      </c>
      <c r="X224" s="3">
        <f>V224/U224</f>
        <v>24.25</v>
      </c>
      <c r="Y224" s="4">
        <f>S224*6/U224</f>
        <v>36.75</v>
      </c>
      <c r="Z224" s="2">
        <v>4</v>
      </c>
      <c r="AA224" s="2">
        <v>0</v>
      </c>
      <c r="AB224" s="2">
        <v>0</v>
      </c>
      <c r="AC224" s="2">
        <v>0</v>
      </c>
    </row>
    <row r="225" spans="1:29" x14ac:dyDescent="0.35">
      <c r="A225" s="1" t="s">
        <v>283</v>
      </c>
      <c r="B225" s="1" t="s">
        <v>287</v>
      </c>
      <c r="C225">
        <f>D225+E225+F225+G225+H225+I225</f>
        <v>7</v>
      </c>
      <c r="D225" s="2">
        <v>0</v>
      </c>
      <c r="E225" s="2">
        <v>0</v>
      </c>
      <c r="F225" s="2">
        <v>0</v>
      </c>
      <c r="G225" s="2">
        <v>7</v>
      </c>
      <c r="H225" s="2">
        <v>0</v>
      </c>
      <c r="I225" s="2">
        <v>0</v>
      </c>
      <c r="J225" s="2">
        <v>6</v>
      </c>
      <c r="K225">
        <f>J225+L225</f>
        <v>7</v>
      </c>
      <c r="L225" s="2">
        <v>1</v>
      </c>
      <c r="M225" s="2">
        <v>0</v>
      </c>
      <c r="N225" s="2">
        <v>91</v>
      </c>
      <c r="O225" s="3">
        <f>N225/J225</f>
        <v>15.166666666666666</v>
      </c>
      <c r="P225" s="2">
        <v>0</v>
      </c>
      <c r="Q225" s="2">
        <v>0</v>
      </c>
      <c r="R225" s="2">
        <v>27</v>
      </c>
      <c r="S225" s="2">
        <v>28</v>
      </c>
      <c r="T225" s="2">
        <v>0</v>
      </c>
      <c r="U225" s="2">
        <v>6</v>
      </c>
      <c r="V225" s="2">
        <v>157</v>
      </c>
      <c r="W225" s="3">
        <f>V225/S225</f>
        <v>5.6071428571428568</v>
      </c>
      <c r="X225" s="3">
        <f>V225/U225</f>
        <v>26.166666666666668</v>
      </c>
      <c r="Y225" s="4">
        <f>S225*6/U225</f>
        <v>28</v>
      </c>
      <c r="Z225" s="2">
        <v>2</v>
      </c>
      <c r="AA225" s="2">
        <v>0</v>
      </c>
      <c r="AB225" s="2">
        <v>0</v>
      </c>
      <c r="AC225" s="2">
        <v>0</v>
      </c>
    </row>
    <row r="226" spans="1:29" x14ac:dyDescent="0.35">
      <c r="A226" s="1" t="s">
        <v>283</v>
      </c>
      <c r="B226" s="11" t="s">
        <v>1321</v>
      </c>
      <c r="C226">
        <f>D226+E226+F226+G226+H226+I226</f>
        <v>2</v>
      </c>
      <c r="D226" s="2">
        <v>0</v>
      </c>
      <c r="E226" s="2">
        <v>0</v>
      </c>
      <c r="F226" s="2">
        <v>2</v>
      </c>
      <c r="G226" s="2">
        <v>0</v>
      </c>
      <c r="H226" s="2">
        <v>0</v>
      </c>
      <c r="I226" s="2">
        <v>0</v>
      </c>
      <c r="J226" s="2">
        <v>0</v>
      </c>
      <c r="K226">
        <f>J226+L226</f>
        <v>1</v>
      </c>
      <c r="L226" s="2">
        <v>1</v>
      </c>
      <c r="M226" s="2">
        <v>1</v>
      </c>
      <c r="N226" s="2">
        <v>40</v>
      </c>
      <c r="O226" s="3" t="e">
        <f>N226/J226</f>
        <v>#DIV/0!</v>
      </c>
      <c r="P226" s="2">
        <v>0</v>
      </c>
      <c r="Q226" s="2">
        <v>0</v>
      </c>
      <c r="R226" s="11" t="s">
        <v>1322</v>
      </c>
      <c r="S226" s="11">
        <v>4</v>
      </c>
      <c r="T226" s="11">
        <v>0</v>
      </c>
      <c r="U226" s="11">
        <v>0</v>
      </c>
      <c r="V226" s="11">
        <v>24</v>
      </c>
      <c r="W226" s="3">
        <f>V226/S226</f>
        <v>6</v>
      </c>
      <c r="X226" s="3">
        <v>0</v>
      </c>
      <c r="Y226" s="3">
        <v>0</v>
      </c>
      <c r="Z226" s="13" t="s">
        <v>1323</v>
      </c>
      <c r="AA226" s="2">
        <v>0</v>
      </c>
      <c r="AB226" s="2">
        <v>0</v>
      </c>
      <c r="AC226" s="2">
        <v>0</v>
      </c>
    </row>
    <row r="227" spans="1:29" x14ac:dyDescent="0.35">
      <c r="A227" s="1" t="s">
        <v>289</v>
      </c>
      <c r="B227" s="1" t="s">
        <v>290</v>
      </c>
      <c r="C227">
        <f>D227+E227+F227+G227+H227+I227</f>
        <v>1</v>
      </c>
      <c r="D227" s="2">
        <v>1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>
        <f>J227+L227</f>
        <v>0</v>
      </c>
      <c r="L227" s="2">
        <v>0</v>
      </c>
      <c r="M227" s="2">
        <v>2</v>
      </c>
      <c r="N227" s="2">
        <v>0</v>
      </c>
      <c r="O227" s="3" t="e">
        <f>N227/J227</f>
        <v>#DIV/0!</v>
      </c>
      <c r="P227" s="2">
        <v>0</v>
      </c>
      <c r="Q227" s="2">
        <v>0</v>
      </c>
      <c r="R227" s="2">
        <v>0</v>
      </c>
      <c r="S227" s="2">
        <v>31</v>
      </c>
      <c r="T227" s="2">
        <v>10</v>
      </c>
      <c r="U227" s="2">
        <v>5</v>
      </c>
      <c r="V227" s="2">
        <v>55</v>
      </c>
      <c r="W227" s="3">
        <f>V227/S227</f>
        <v>1.7741935483870968</v>
      </c>
      <c r="X227" s="3">
        <f>V227/U227</f>
        <v>11</v>
      </c>
      <c r="Y227" s="4">
        <f>S227*6/U227</f>
        <v>37.200000000000003</v>
      </c>
      <c r="Z227" s="2">
        <v>3</v>
      </c>
      <c r="AA227" s="2">
        <v>0</v>
      </c>
      <c r="AB227" s="2">
        <v>0</v>
      </c>
      <c r="AC227" s="2">
        <v>0</v>
      </c>
    </row>
    <row r="228" spans="1:29" x14ac:dyDescent="0.35">
      <c r="A228" s="1" t="s">
        <v>291</v>
      </c>
      <c r="B228" s="1" t="s">
        <v>292</v>
      </c>
      <c r="C228">
        <f>D228+E228+F228+G228+H228+I228</f>
        <v>3</v>
      </c>
      <c r="D228" s="2">
        <v>0</v>
      </c>
      <c r="E228" s="2">
        <v>0</v>
      </c>
      <c r="F228" s="2">
        <v>0</v>
      </c>
      <c r="G228" s="2">
        <v>3</v>
      </c>
      <c r="H228" s="2">
        <v>0</v>
      </c>
      <c r="I228" s="2">
        <v>0</v>
      </c>
      <c r="J228" s="2">
        <v>1</v>
      </c>
      <c r="K228">
        <f>J228+L228</f>
        <v>1</v>
      </c>
      <c r="L228" s="2">
        <v>0</v>
      </c>
      <c r="M228" s="2">
        <v>2</v>
      </c>
      <c r="N228" s="2">
        <v>6</v>
      </c>
      <c r="O228" s="3">
        <f>N228/J228</f>
        <v>6</v>
      </c>
      <c r="P228" s="2">
        <v>0</v>
      </c>
      <c r="Q228" s="2">
        <v>0</v>
      </c>
      <c r="R228" s="2">
        <v>6</v>
      </c>
      <c r="S228" s="2">
        <v>17</v>
      </c>
      <c r="T228" s="2">
        <v>0</v>
      </c>
      <c r="U228" s="2">
        <v>4</v>
      </c>
      <c r="V228" s="2">
        <v>58</v>
      </c>
      <c r="W228" s="3">
        <f>V228/S228</f>
        <v>3.4117647058823528</v>
      </c>
      <c r="X228" s="3">
        <f>V228/U228</f>
        <v>14.5</v>
      </c>
      <c r="Y228" s="4">
        <f>S228*6/U228</f>
        <v>25.5</v>
      </c>
      <c r="Z228" s="2">
        <v>3</v>
      </c>
      <c r="AA228" s="2">
        <v>0</v>
      </c>
      <c r="AB228" s="2">
        <v>0</v>
      </c>
      <c r="AC228" s="2">
        <v>0</v>
      </c>
    </row>
    <row r="229" spans="1:29" x14ac:dyDescent="0.35">
      <c r="A229" s="1" t="s">
        <v>41</v>
      </c>
      <c r="B229" s="1" t="s">
        <v>293</v>
      </c>
      <c r="C229">
        <f>D229+E229+F229+G229+H229+I229</f>
        <v>56</v>
      </c>
      <c r="D229" s="2">
        <v>34</v>
      </c>
      <c r="E229" s="2">
        <v>20</v>
      </c>
      <c r="F229" s="2">
        <v>2</v>
      </c>
      <c r="G229" s="2">
        <v>0</v>
      </c>
      <c r="H229" s="2">
        <v>0</v>
      </c>
      <c r="I229" s="2">
        <v>0</v>
      </c>
      <c r="J229" s="2">
        <v>32</v>
      </c>
      <c r="K229">
        <f>J229+L229</f>
        <v>42</v>
      </c>
      <c r="L229" s="2">
        <v>10</v>
      </c>
      <c r="M229" s="2">
        <v>14</v>
      </c>
      <c r="N229" s="2">
        <v>614</v>
      </c>
      <c r="O229" s="3">
        <f>N229/J229</f>
        <v>19.1875</v>
      </c>
      <c r="P229" s="2">
        <v>3</v>
      </c>
      <c r="Q229" s="2">
        <v>1</v>
      </c>
      <c r="R229" s="2">
        <v>105</v>
      </c>
      <c r="S229" s="2">
        <f>264.2+126</f>
        <v>390.2</v>
      </c>
      <c r="T229" s="2">
        <f>47+33</f>
        <v>80</v>
      </c>
      <c r="U229" s="2">
        <v>68</v>
      </c>
      <c r="V229" s="2">
        <f>873+380</f>
        <v>1253</v>
      </c>
      <c r="W229" s="3">
        <f>V229/S229</f>
        <v>3.2111737570476682</v>
      </c>
      <c r="X229" s="3">
        <f>V229/U229</f>
        <v>18.426470588235293</v>
      </c>
      <c r="Y229" s="4">
        <f>S229*6/U229</f>
        <v>34.429411764705883</v>
      </c>
      <c r="Z229" s="2" t="s">
        <v>1294</v>
      </c>
      <c r="AA229" s="2">
        <v>1</v>
      </c>
      <c r="AB229" s="2">
        <v>0</v>
      </c>
      <c r="AC229" s="2">
        <v>14</v>
      </c>
    </row>
    <row r="230" spans="1:29" x14ac:dyDescent="0.35">
      <c r="A230" s="7" t="s">
        <v>41</v>
      </c>
      <c r="B230" s="7" t="s">
        <v>166</v>
      </c>
      <c r="C230">
        <f>D230+E230+F230+G230+H230+I230</f>
        <v>22</v>
      </c>
      <c r="D230" s="5">
        <v>0</v>
      </c>
      <c r="E230" s="5">
        <v>3</v>
      </c>
      <c r="F230" s="5">
        <v>6</v>
      </c>
      <c r="G230" s="5">
        <v>5</v>
      </c>
      <c r="H230" s="5">
        <v>3</v>
      </c>
      <c r="I230" s="5">
        <v>5</v>
      </c>
      <c r="J230" s="5">
        <v>24</v>
      </c>
      <c r="K230">
        <f>J230+L230</f>
        <v>25</v>
      </c>
      <c r="L230" s="5">
        <v>1</v>
      </c>
      <c r="M230" s="5">
        <v>2</v>
      </c>
      <c r="N230" s="5">
        <v>337</v>
      </c>
      <c r="O230" s="3">
        <f>N230/J230</f>
        <v>14.041666666666666</v>
      </c>
      <c r="P230" s="5">
        <v>1</v>
      </c>
      <c r="Q230" s="5">
        <v>0</v>
      </c>
      <c r="R230" s="5">
        <v>72</v>
      </c>
      <c r="S230" s="40">
        <v>41</v>
      </c>
      <c r="T230" s="40">
        <v>4</v>
      </c>
      <c r="U230" s="40">
        <v>3</v>
      </c>
      <c r="V230" s="40">
        <v>181</v>
      </c>
      <c r="W230" s="3">
        <f>V230/S230</f>
        <v>4.4146341463414638</v>
      </c>
      <c r="X230" s="3">
        <f>V230/U230</f>
        <v>60.333333333333336</v>
      </c>
      <c r="Y230" s="4">
        <f>S230*6/U230</f>
        <v>82</v>
      </c>
      <c r="Z230" s="40">
        <v>2</v>
      </c>
      <c r="AA230" s="40">
        <v>0</v>
      </c>
      <c r="AB230" s="40">
        <v>0</v>
      </c>
      <c r="AC230" s="40">
        <v>2</v>
      </c>
    </row>
    <row r="231" spans="1:29" x14ac:dyDescent="0.35">
      <c r="A231" s="15" t="s">
        <v>41</v>
      </c>
      <c r="B231" s="15" t="s">
        <v>414</v>
      </c>
      <c r="C231" s="18">
        <f>D231+E231+F231+G231+H231+I231</f>
        <v>2</v>
      </c>
      <c r="D231" s="16">
        <v>0</v>
      </c>
      <c r="E231" s="16">
        <v>0</v>
      </c>
      <c r="F231" s="16">
        <v>0</v>
      </c>
      <c r="G231" s="16">
        <v>2</v>
      </c>
      <c r="H231" s="16">
        <v>0</v>
      </c>
      <c r="I231" s="16">
        <v>0</v>
      </c>
      <c r="J231" s="16">
        <v>2</v>
      </c>
      <c r="K231" s="18">
        <f>J231+L231</f>
        <v>2</v>
      </c>
      <c r="L231" s="16">
        <v>0</v>
      </c>
      <c r="M231" s="16">
        <v>0</v>
      </c>
      <c r="N231" s="16">
        <v>0</v>
      </c>
      <c r="O231" s="19">
        <f>N231/J231</f>
        <v>0</v>
      </c>
      <c r="P231" s="16">
        <v>0</v>
      </c>
      <c r="Q231" s="16">
        <v>0</v>
      </c>
      <c r="R231" s="16">
        <v>0</v>
      </c>
      <c r="S231" s="22">
        <v>0</v>
      </c>
      <c r="T231" s="22">
        <v>0</v>
      </c>
      <c r="U231" s="22">
        <v>0</v>
      </c>
      <c r="V231" s="22">
        <v>0</v>
      </c>
      <c r="W231" s="18">
        <v>0</v>
      </c>
      <c r="X231" s="19">
        <v>0</v>
      </c>
      <c r="Y231" s="19">
        <v>0</v>
      </c>
      <c r="Z231" s="22">
        <v>0</v>
      </c>
      <c r="AA231" s="22">
        <v>0</v>
      </c>
      <c r="AB231" s="22">
        <v>0</v>
      </c>
      <c r="AC231" s="22">
        <v>1</v>
      </c>
    </row>
    <row r="232" spans="1:29" x14ac:dyDescent="0.35">
      <c r="A232" s="1" t="s">
        <v>294</v>
      </c>
      <c r="B232" s="1" t="s">
        <v>20</v>
      </c>
      <c r="C232">
        <f>D232+E232+F232+G232+H232+I232</f>
        <v>38</v>
      </c>
      <c r="D232" s="2">
        <v>0</v>
      </c>
      <c r="E232" s="2">
        <v>0</v>
      </c>
      <c r="F232" s="2">
        <v>4</v>
      </c>
      <c r="G232" s="2">
        <v>6</v>
      </c>
      <c r="H232" s="2">
        <v>4</v>
      </c>
      <c r="I232" s="2">
        <v>24</v>
      </c>
      <c r="J232" s="2">
        <v>21</v>
      </c>
      <c r="K232">
        <f>J232+L232</f>
        <v>27</v>
      </c>
      <c r="L232" s="2">
        <v>6</v>
      </c>
      <c r="M232" s="2">
        <v>15</v>
      </c>
      <c r="N232" s="2">
        <v>135</v>
      </c>
      <c r="O232" s="3">
        <f>N232/J232</f>
        <v>6.4285714285714288</v>
      </c>
      <c r="P232" s="2">
        <v>0</v>
      </c>
      <c r="Q232" s="2">
        <v>0</v>
      </c>
      <c r="R232" s="2">
        <v>25</v>
      </c>
      <c r="S232" s="2">
        <v>197</v>
      </c>
      <c r="T232" s="2">
        <v>22</v>
      </c>
      <c r="U232" s="2">
        <v>38</v>
      </c>
      <c r="V232" s="2">
        <v>829</v>
      </c>
      <c r="W232" s="3">
        <f>V232/S232</f>
        <v>4.2081218274111674</v>
      </c>
      <c r="X232" s="3">
        <f>V232/U232</f>
        <v>21.815789473684209</v>
      </c>
      <c r="Y232" s="4">
        <f>S232*6/U232</f>
        <v>31.105263157894736</v>
      </c>
      <c r="Z232" s="2">
        <v>6</v>
      </c>
      <c r="AA232" s="2">
        <v>1</v>
      </c>
      <c r="AB232" s="2">
        <v>0</v>
      </c>
      <c r="AC232" s="2">
        <v>3</v>
      </c>
    </row>
    <row r="233" spans="1:29" x14ac:dyDescent="0.35">
      <c r="A233" s="1" t="s">
        <v>294</v>
      </c>
      <c r="B233" s="1" t="s">
        <v>295</v>
      </c>
      <c r="C233">
        <f>D233+E233+F233+G233+H233+I233</f>
        <v>7</v>
      </c>
      <c r="D233" s="2">
        <v>1</v>
      </c>
      <c r="E233" s="2">
        <v>1</v>
      </c>
      <c r="F233" s="2">
        <v>2</v>
      </c>
      <c r="G233" s="2">
        <v>1</v>
      </c>
      <c r="H233" s="2">
        <v>0</v>
      </c>
      <c r="I233" s="2">
        <v>2</v>
      </c>
      <c r="J233" s="2">
        <v>8</v>
      </c>
      <c r="K233">
        <f>J233+L233</f>
        <v>8</v>
      </c>
      <c r="L233" s="2">
        <v>0</v>
      </c>
      <c r="M233" s="2">
        <v>0</v>
      </c>
      <c r="N233" s="2">
        <v>200</v>
      </c>
      <c r="O233" s="3">
        <f>N233/J233</f>
        <v>25</v>
      </c>
      <c r="P233" s="2">
        <v>2</v>
      </c>
      <c r="Q233" s="2">
        <v>0</v>
      </c>
      <c r="R233" s="2">
        <v>53</v>
      </c>
      <c r="S233" s="2">
        <v>54</v>
      </c>
      <c r="T233" s="2">
        <v>7</v>
      </c>
      <c r="U233" s="2">
        <v>9</v>
      </c>
      <c r="V233" s="2">
        <v>193</v>
      </c>
      <c r="W233" s="3">
        <f>V233/S233</f>
        <v>3.574074074074074</v>
      </c>
      <c r="X233" s="3">
        <f>V233/U233</f>
        <v>21.444444444444443</v>
      </c>
      <c r="Y233" s="4">
        <f>S233*6/U233</f>
        <v>36</v>
      </c>
      <c r="Z233" s="2">
        <v>5</v>
      </c>
      <c r="AA233" s="2">
        <v>1</v>
      </c>
      <c r="AB233" s="2">
        <v>0</v>
      </c>
      <c r="AC233" s="2">
        <v>0</v>
      </c>
    </row>
    <row r="234" spans="1:29" x14ac:dyDescent="0.35">
      <c r="A234" s="1" t="s">
        <v>296</v>
      </c>
      <c r="B234" s="1" t="s">
        <v>29</v>
      </c>
      <c r="C234">
        <f>D234+E234+F234+G234+H234+I234</f>
        <v>27</v>
      </c>
      <c r="D234" s="2">
        <v>0</v>
      </c>
      <c r="E234" s="2">
        <v>0</v>
      </c>
      <c r="F234" s="2">
        <v>11</v>
      </c>
      <c r="G234" s="2">
        <v>9</v>
      </c>
      <c r="H234" s="2">
        <v>1</v>
      </c>
      <c r="I234" s="2">
        <v>6</v>
      </c>
      <c r="J234" s="2">
        <v>33</v>
      </c>
      <c r="K234">
        <f>J234+L234</f>
        <v>35</v>
      </c>
      <c r="L234" s="2">
        <v>2</v>
      </c>
      <c r="M234" s="2">
        <v>2</v>
      </c>
      <c r="N234" s="2">
        <v>603</v>
      </c>
      <c r="O234" s="3">
        <f>N234/J234</f>
        <v>18.272727272727273</v>
      </c>
      <c r="P234" s="2">
        <v>1</v>
      </c>
      <c r="Q234" s="2">
        <v>0</v>
      </c>
      <c r="R234" s="2">
        <v>64</v>
      </c>
      <c r="S234" s="2">
        <v>74</v>
      </c>
      <c r="T234" s="2">
        <v>11</v>
      </c>
      <c r="U234" s="2">
        <v>9</v>
      </c>
      <c r="V234" s="2">
        <v>219</v>
      </c>
      <c r="W234" s="3">
        <f>V234/S234</f>
        <v>2.9594594594594597</v>
      </c>
      <c r="X234" s="3">
        <f>V234/U234</f>
        <v>24.333333333333332</v>
      </c>
      <c r="Y234" s="4">
        <f>S234*6/U234</f>
        <v>49.333333333333336</v>
      </c>
      <c r="Z234" s="2">
        <v>4</v>
      </c>
      <c r="AA234" s="2">
        <v>0</v>
      </c>
      <c r="AB234" s="2">
        <v>0</v>
      </c>
      <c r="AC234" s="2">
        <v>8</v>
      </c>
    </row>
    <row r="235" spans="1:29" x14ac:dyDescent="0.35">
      <c r="A235" s="15" t="s">
        <v>297</v>
      </c>
      <c r="B235" s="15" t="s">
        <v>97</v>
      </c>
      <c r="C235" s="18">
        <f>D235+E235+F235+G235+H235+I235</f>
        <v>28</v>
      </c>
      <c r="D235" s="16">
        <v>11</v>
      </c>
      <c r="E235" s="16">
        <v>14</v>
      </c>
      <c r="F235" s="16">
        <v>3</v>
      </c>
      <c r="G235" s="16">
        <v>0</v>
      </c>
      <c r="H235" s="16">
        <v>0</v>
      </c>
      <c r="I235" s="16">
        <v>0</v>
      </c>
      <c r="J235" s="16">
        <v>25</v>
      </c>
      <c r="K235" s="18">
        <f>J235+L235</f>
        <v>33</v>
      </c>
      <c r="L235" s="16">
        <v>8</v>
      </c>
      <c r="M235" s="16">
        <v>3</v>
      </c>
      <c r="N235" s="16">
        <v>964</v>
      </c>
      <c r="O235" s="19">
        <f>N235/J235</f>
        <v>38.56</v>
      </c>
      <c r="P235" s="16">
        <v>4</v>
      </c>
      <c r="Q235" s="16">
        <v>2</v>
      </c>
      <c r="R235" s="16">
        <v>172</v>
      </c>
      <c r="S235" s="16">
        <v>101</v>
      </c>
      <c r="T235" s="16">
        <v>23</v>
      </c>
      <c r="U235" s="16">
        <v>10</v>
      </c>
      <c r="V235" s="16">
        <v>302</v>
      </c>
      <c r="W235" s="19">
        <f>V235/S235</f>
        <v>2.9900990099009901</v>
      </c>
      <c r="X235" s="19">
        <f>V235/U235</f>
        <v>30.2</v>
      </c>
      <c r="Y235" s="20">
        <f>S235*6/U235</f>
        <v>60.6</v>
      </c>
      <c r="Z235" s="16">
        <v>3</v>
      </c>
      <c r="AA235" s="16">
        <v>0</v>
      </c>
      <c r="AB235" s="16">
        <v>0</v>
      </c>
      <c r="AC235" s="16">
        <v>8</v>
      </c>
    </row>
    <row r="236" spans="1:29" x14ac:dyDescent="0.35">
      <c r="A236" s="1" t="s">
        <v>298</v>
      </c>
      <c r="B236" s="1" t="s">
        <v>300</v>
      </c>
      <c r="C236">
        <f>D236+E236+F236+G236+H236+I236</f>
        <v>10</v>
      </c>
      <c r="D236" s="2">
        <v>0</v>
      </c>
      <c r="E236" s="2">
        <v>0</v>
      </c>
      <c r="F236" s="2">
        <v>0</v>
      </c>
      <c r="G236" s="2">
        <v>5</v>
      </c>
      <c r="H236" s="2">
        <v>5</v>
      </c>
      <c r="I236" s="2">
        <v>0</v>
      </c>
      <c r="J236" s="2">
        <v>10</v>
      </c>
      <c r="K236">
        <f>J236+L236</f>
        <v>12</v>
      </c>
      <c r="L236" s="2">
        <v>2</v>
      </c>
      <c r="M236" s="2">
        <v>0</v>
      </c>
      <c r="N236" s="2">
        <v>198</v>
      </c>
      <c r="O236" s="3">
        <f>N236/J236</f>
        <v>19.8</v>
      </c>
      <c r="P236" s="2">
        <v>0</v>
      </c>
      <c r="Q236" s="2">
        <v>0</v>
      </c>
      <c r="R236" s="2">
        <v>46</v>
      </c>
      <c r="S236" s="2">
        <v>0</v>
      </c>
      <c r="T236" s="2">
        <v>0</v>
      </c>
      <c r="U236" s="2">
        <v>0</v>
      </c>
      <c r="V236" s="2">
        <v>0</v>
      </c>
      <c r="W236" s="3" t="e">
        <f>V236/S236</f>
        <v>#DIV/0!</v>
      </c>
      <c r="X236" s="3" t="e">
        <f>V236/U236</f>
        <v>#DIV/0!</v>
      </c>
      <c r="Y236" s="4" t="e">
        <f>S236*6/U236</f>
        <v>#DIV/0!</v>
      </c>
      <c r="Z236" s="2">
        <v>0</v>
      </c>
      <c r="AA236" s="2">
        <v>0</v>
      </c>
      <c r="AB236" s="2">
        <v>0</v>
      </c>
      <c r="AC236" s="2">
        <v>4</v>
      </c>
    </row>
    <row r="237" spans="1:29" x14ac:dyDescent="0.35">
      <c r="A237" s="1" t="s">
        <v>298</v>
      </c>
      <c r="B237" s="1" t="s">
        <v>299</v>
      </c>
      <c r="C237">
        <f>D237+E237+F237+G237+H237+I237</f>
        <v>23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23</v>
      </c>
      <c r="J237" s="2">
        <v>24</v>
      </c>
      <c r="K237">
        <f>J237+L237</f>
        <v>25</v>
      </c>
      <c r="L237" s="2">
        <v>1</v>
      </c>
      <c r="M237" s="2">
        <v>0</v>
      </c>
      <c r="N237" s="2">
        <v>871</v>
      </c>
      <c r="O237" s="3">
        <f>N237/J237</f>
        <v>36.291666666666664</v>
      </c>
      <c r="P237" s="2">
        <v>4</v>
      </c>
      <c r="Q237" s="2">
        <v>2</v>
      </c>
      <c r="R237" s="2">
        <v>133</v>
      </c>
      <c r="S237" s="2">
        <v>158</v>
      </c>
      <c r="T237" s="2">
        <v>13</v>
      </c>
      <c r="U237" s="2">
        <v>24</v>
      </c>
      <c r="V237" s="2">
        <v>579</v>
      </c>
      <c r="W237" s="3">
        <f>V237/S237</f>
        <v>3.6645569620253164</v>
      </c>
      <c r="X237" s="3">
        <f>V237/U237</f>
        <v>24.125</v>
      </c>
      <c r="Y237" s="4">
        <f>S237*6/U237</f>
        <v>39.5</v>
      </c>
      <c r="Z237" s="2">
        <v>4</v>
      </c>
      <c r="AA237" s="2">
        <v>0</v>
      </c>
      <c r="AB237" s="2">
        <v>0</v>
      </c>
      <c r="AC237" s="2">
        <v>2</v>
      </c>
    </row>
    <row r="238" spans="1:29" x14ac:dyDescent="0.35">
      <c r="A238" s="1" t="s">
        <v>301</v>
      </c>
      <c r="B238" s="1" t="s">
        <v>8</v>
      </c>
      <c r="C238">
        <f>D238+E238+F238+G238+H238+I238</f>
        <v>1</v>
      </c>
      <c r="D238" s="2">
        <v>0</v>
      </c>
      <c r="E238" s="2">
        <v>0</v>
      </c>
      <c r="F238" s="2">
        <v>0</v>
      </c>
      <c r="G238" s="2">
        <v>1</v>
      </c>
      <c r="H238" s="2">
        <v>0</v>
      </c>
      <c r="I238" s="2">
        <v>0</v>
      </c>
      <c r="J238" s="2">
        <v>1</v>
      </c>
      <c r="K238">
        <f>J238+L238</f>
        <v>1</v>
      </c>
      <c r="L238" s="2">
        <v>0</v>
      </c>
      <c r="M238" s="2">
        <v>0</v>
      </c>
      <c r="N238" s="2">
        <v>17</v>
      </c>
      <c r="O238" s="3">
        <f>N238/J238</f>
        <v>17</v>
      </c>
      <c r="P238" s="2">
        <v>0</v>
      </c>
      <c r="Q238" s="2">
        <v>0</v>
      </c>
      <c r="R238" s="2">
        <v>17</v>
      </c>
      <c r="S238" s="2">
        <v>1</v>
      </c>
      <c r="T238" s="2">
        <v>1</v>
      </c>
      <c r="U238" s="2">
        <v>1</v>
      </c>
      <c r="V238" s="2">
        <v>0</v>
      </c>
      <c r="W238" s="3">
        <f>V238/S238</f>
        <v>0</v>
      </c>
      <c r="X238" s="3">
        <f>V238/U238</f>
        <v>0</v>
      </c>
      <c r="Y238" s="4">
        <f>S238*6/U238</f>
        <v>6</v>
      </c>
      <c r="Z238" s="2">
        <v>1</v>
      </c>
      <c r="AA238" s="2">
        <v>0</v>
      </c>
      <c r="AB238" s="2">
        <v>0</v>
      </c>
      <c r="AC238" s="2">
        <v>0</v>
      </c>
    </row>
    <row r="239" spans="1:29" x14ac:dyDescent="0.35">
      <c r="A239" s="1" t="s">
        <v>302</v>
      </c>
      <c r="B239" s="1" t="s">
        <v>303</v>
      </c>
      <c r="C239">
        <f>D239+E239+F239+G239+H239+I239</f>
        <v>4</v>
      </c>
      <c r="D239" s="2">
        <v>0</v>
      </c>
      <c r="E239" s="2">
        <v>0</v>
      </c>
      <c r="F239" s="2">
        <v>0</v>
      </c>
      <c r="G239" s="2">
        <v>4</v>
      </c>
      <c r="H239" s="2">
        <v>0</v>
      </c>
      <c r="I239" s="2">
        <v>0</v>
      </c>
      <c r="J239" s="2">
        <v>4</v>
      </c>
      <c r="K239">
        <f>J239+L239</f>
        <v>4</v>
      </c>
      <c r="L239" s="2">
        <v>0</v>
      </c>
      <c r="M239" s="2">
        <v>0</v>
      </c>
      <c r="N239" s="2">
        <v>108</v>
      </c>
      <c r="O239" s="3">
        <f>N239/J239</f>
        <v>27</v>
      </c>
      <c r="P239" s="2">
        <v>0</v>
      </c>
      <c r="Q239" s="2">
        <v>0</v>
      </c>
      <c r="R239" s="2">
        <v>39</v>
      </c>
      <c r="S239" s="2">
        <v>23</v>
      </c>
      <c r="T239" s="2">
        <v>1</v>
      </c>
      <c r="U239" s="2">
        <v>7</v>
      </c>
      <c r="V239" s="2">
        <v>78</v>
      </c>
      <c r="W239" s="3">
        <f>V239/S239</f>
        <v>3.3913043478260869</v>
      </c>
      <c r="X239" s="3">
        <f>V239/U239</f>
        <v>11.142857142857142</v>
      </c>
      <c r="Y239" s="4">
        <f>S239*6/U239</f>
        <v>19.714285714285715</v>
      </c>
      <c r="Z239" s="2">
        <v>3</v>
      </c>
      <c r="AA239" s="2">
        <v>0</v>
      </c>
      <c r="AB239" s="2">
        <v>0</v>
      </c>
      <c r="AC239" s="2">
        <v>0</v>
      </c>
    </row>
    <row r="240" spans="1:29" x14ac:dyDescent="0.35">
      <c r="A240" s="1" t="s">
        <v>304</v>
      </c>
      <c r="B240" s="1" t="s">
        <v>305</v>
      </c>
      <c r="C240">
        <f>D240+E240+F240+G240+H240+I240</f>
        <v>9</v>
      </c>
      <c r="D240" s="2">
        <v>0</v>
      </c>
      <c r="E240" s="2">
        <v>4</v>
      </c>
      <c r="F240" s="2">
        <v>3</v>
      </c>
      <c r="G240" s="2">
        <v>2</v>
      </c>
      <c r="H240" s="2">
        <v>0</v>
      </c>
      <c r="I240" s="2">
        <v>0</v>
      </c>
      <c r="J240" s="2">
        <v>9</v>
      </c>
      <c r="K240">
        <f>J240+L240</f>
        <v>9</v>
      </c>
      <c r="L240" s="2">
        <v>0</v>
      </c>
      <c r="M240" s="2">
        <v>0</v>
      </c>
      <c r="N240" s="2">
        <v>151</v>
      </c>
      <c r="O240" s="3">
        <f>N240/J240</f>
        <v>16.777777777777779</v>
      </c>
      <c r="P240" s="2">
        <v>2</v>
      </c>
      <c r="Q240" s="2">
        <v>0</v>
      </c>
      <c r="R240" s="2">
        <v>58</v>
      </c>
      <c r="S240" s="2">
        <v>31</v>
      </c>
      <c r="T240" s="2">
        <v>5</v>
      </c>
      <c r="U240" s="2">
        <v>9</v>
      </c>
      <c r="V240" s="2">
        <v>95</v>
      </c>
      <c r="W240" s="3">
        <f>V240/S240</f>
        <v>3.064516129032258</v>
      </c>
      <c r="X240" s="3">
        <f>V240/U240</f>
        <v>10.555555555555555</v>
      </c>
      <c r="Y240" s="4">
        <f>S240*6/U240</f>
        <v>20.666666666666668</v>
      </c>
      <c r="Z240" s="2">
        <v>5</v>
      </c>
      <c r="AA240" s="2">
        <v>1</v>
      </c>
      <c r="AB240" s="2">
        <v>0</v>
      </c>
      <c r="AC240" s="2">
        <v>1</v>
      </c>
    </row>
    <row r="241" spans="1:29" x14ac:dyDescent="0.35">
      <c r="A241" s="1" t="s">
        <v>306</v>
      </c>
      <c r="B241" s="1" t="s">
        <v>307</v>
      </c>
      <c r="C241">
        <f>D241+E241+F241+G241+H241+I241</f>
        <v>1</v>
      </c>
      <c r="D241" s="2">
        <v>0</v>
      </c>
      <c r="E241" s="2">
        <v>0</v>
      </c>
      <c r="F241" s="2">
        <v>0</v>
      </c>
      <c r="G241" s="2">
        <v>0</v>
      </c>
      <c r="H241" s="2">
        <v>1</v>
      </c>
      <c r="I241" s="2">
        <v>0</v>
      </c>
      <c r="J241" s="2">
        <v>0</v>
      </c>
      <c r="K241">
        <f>J241+L241</f>
        <v>1</v>
      </c>
      <c r="L241" s="2">
        <v>1</v>
      </c>
      <c r="M241" s="2">
        <v>0</v>
      </c>
      <c r="N241" s="2">
        <v>30</v>
      </c>
      <c r="O241" s="3" t="e">
        <f>N241/J241</f>
        <v>#DIV/0!</v>
      </c>
      <c r="P241" s="2">
        <v>0</v>
      </c>
      <c r="Q241" s="2">
        <v>0</v>
      </c>
      <c r="R241" s="2">
        <v>30</v>
      </c>
      <c r="S241" s="2">
        <v>0</v>
      </c>
      <c r="T241" s="2">
        <v>0</v>
      </c>
      <c r="U241" s="2">
        <v>0</v>
      </c>
      <c r="V241" s="2">
        <v>0</v>
      </c>
      <c r="W241" s="3" t="e">
        <f>V241/S241</f>
        <v>#DIV/0!</v>
      </c>
      <c r="X241" s="3" t="e">
        <f>V241/U241</f>
        <v>#DIV/0!</v>
      </c>
      <c r="Y241" s="4" t="e">
        <f>S241*6/U241</f>
        <v>#DIV/0!</v>
      </c>
      <c r="Z241" s="2">
        <v>0</v>
      </c>
      <c r="AA241" s="2">
        <v>0</v>
      </c>
      <c r="AB241" s="2">
        <v>0</v>
      </c>
      <c r="AC241" s="2">
        <v>0</v>
      </c>
    </row>
    <row r="242" spans="1:29" x14ac:dyDescent="0.35">
      <c r="A242" s="1" t="s">
        <v>308</v>
      </c>
      <c r="B242" s="1" t="s">
        <v>309</v>
      </c>
      <c r="C242">
        <f>D242+E242+F242+G242+H242+I242</f>
        <v>25</v>
      </c>
      <c r="D242" s="2">
        <v>0</v>
      </c>
      <c r="E242" s="2">
        <v>0</v>
      </c>
      <c r="F242" s="2">
        <v>8</v>
      </c>
      <c r="G242" s="2">
        <v>17</v>
      </c>
      <c r="H242" s="2">
        <v>0</v>
      </c>
      <c r="I242" s="2">
        <v>0</v>
      </c>
      <c r="J242" s="2">
        <v>16</v>
      </c>
      <c r="K242">
        <f>J242+L242</f>
        <v>22</v>
      </c>
      <c r="L242" s="2">
        <v>6</v>
      </c>
      <c r="M242" s="2">
        <v>6</v>
      </c>
      <c r="N242" s="2">
        <v>270</v>
      </c>
      <c r="O242" s="3">
        <f>N242/J242</f>
        <v>16.875</v>
      </c>
      <c r="P242" s="2">
        <v>0</v>
      </c>
      <c r="Q242" s="2">
        <v>0</v>
      </c>
      <c r="R242" s="2">
        <v>38</v>
      </c>
      <c r="S242" s="2">
        <v>83</v>
      </c>
      <c r="T242" s="2">
        <v>10</v>
      </c>
      <c r="U242" s="2">
        <v>14</v>
      </c>
      <c r="V242" s="2">
        <v>449</v>
      </c>
      <c r="W242" s="3">
        <f>V242/S242</f>
        <v>5.4096385542168672</v>
      </c>
      <c r="X242" s="3">
        <f>V242/U242</f>
        <v>32.071428571428569</v>
      </c>
      <c r="Y242" s="4">
        <f>S242*6/U242</f>
        <v>35.571428571428569</v>
      </c>
      <c r="Z242" s="2">
        <v>3</v>
      </c>
      <c r="AA242" s="2">
        <v>0</v>
      </c>
      <c r="AB242" s="2">
        <v>0</v>
      </c>
      <c r="AC242" s="2">
        <v>2</v>
      </c>
    </row>
    <row r="243" spans="1:29" x14ac:dyDescent="0.35">
      <c r="A243" s="1" t="s">
        <v>310</v>
      </c>
      <c r="B243" s="1" t="s">
        <v>172</v>
      </c>
      <c r="C243">
        <f>D243+E243+F243+G243+H243+I243</f>
        <v>9</v>
      </c>
      <c r="D243" s="2">
        <v>0</v>
      </c>
      <c r="E243" s="2">
        <v>0</v>
      </c>
      <c r="F243" s="2">
        <v>0</v>
      </c>
      <c r="G243" s="2">
        <v>0</v>
      </c>
      <c r="H243" s="2">
        <v>9</v>
      </c>
      <c r="I243" s="2">
        <v>0</v>
      </c>
      <c r="J243" s="2">
        <v>7</v>
      </c>
      <c r="K243">
        <f>J243+L243</f>
        <v>10</v>
      </c>
      <c r="L243" s="2">
        <v>3</v>
      </c>
      <c r="M243" s="2">
        <v>1</v>
      </c>
      <c r="N243" s="2">
        <v>328</v>
      </c>
      <c r="O243" s="3">
        <f>N243/J243</f>
        <v>46.857142857142854</v>
      </c>
      <c r="P243" s="2">
        <v>1</v>
      </c>
      <c r="Q243" s="2">
        <v>1</v>
      </c>
      <c r="R243" s="2">
        <v>127</v>
      </c>
      <c r="S243" s="2">
        <v>36</v>
      </c>
      <c r="T243" s="2">
        <v>6</v>
      </c>
      <c r="U243" s="2">
        <v>6</v>
      </c>
      <c r="V243" s="2">
        <v>112</v>
      </c>
      <c r="W243" s="3">
        <f>V243/S243</f>
        <v>3.1111111111111112</v>
      </c>
      <c r="X243" s="3">
        <f>V243/U243</f>
        <v>18.666666666666668</v>
      </c>
      <c r="Y243" s="4">
        <f>S243*6/U243</f>
        <v>36</v>
      </c>
      <c r="Z243" s="2">
        <v>3</v>
      </c>
      <c r="AA243" s="2">
        <v>0</v>
      </c>
      <c r="AB243" s="2">
        <v>0</v>
      </c>
      <c r="AC243" s="2">
        <v>4</v>
      </c>
    </row>
    <row r="244" spans="1:29" x14ac:dyDescent="0.35">
      <c r="A244" s="1" t="s">
        <v>311</v>
      </c>
      <c r="B244" s="1" t="s">
        <v>198</v>
      </c>
      <c r="C244">
        <f>D244+E244+F244+G244+H244+I244</f>
        <v>21</v>
      </c>
      <c r="D244" s="2">
        <v>0</v>
      </c>
      <c r="E244" s="2">
        <v>0</v>
      </c>
      <c r="F244" s="2">
        <v>0</v>
      </c>
      <c r="G244" s="2">
        <v>7</v>
      </c>
      <c r="H244" s="2">
        <v>6</v>
      </c>
      <c r="I244" s="2">
        <v>8</v>
      </c>
      <c r="J244" s="2">
        <v>23</v>
      </c>
      <c r="K244">
        <f>J244+L244</f>
        <v>23</v>
      </c>
      <c r="L244" s="2">
        <v>0</v>
      </c>
      <c r="M244" s="2">
        <v>0</v>
      </c>
      <c r="N244" s="2">
        <v>386</v>
      </c>
      <c r="O244" s="3">
        <f>N244/J244</f>
        <v>16.782608695652176</v>
      </c>
      <c r="P244" s="2">
        <v>3</v>
      </c>
      <c r="Q244" s="2">
        <v>0</v>
      </c>
      <c r="R244" s="2">
        <v>57</v>
      </c>
      <c r="S244" s="2">
        <v>2</v>
      </c>
      <c r="T244" s="2">
        <v>0</v>
      </c>
      <c r="U244" s="2">
        <v>0</v>
      </c>
      <c r="V244" s="2">
        <v>14</v>
      </c>
      <c r="W244" s="3">
        <f>V244/S244</f>
        <v>7</v>
      </c>
      <c r="X244" s="3" t="e">
        <f>V244/U244</f>
        <v>#DIV/0!</v>
      </c>
      <c r="Y244" s="4" t="e">
        <f>S244*6/U244</f>
        <v>#DIV/0!</v>
      </c>
      <c r="Z244" s="2">
        <v>0</v>
      </c>
      <c r="AA244" s="2">
        <v>0</v>
      </c>
      <c r="AB244" s="2">
        <v>0</v>
      </c>
      <c r="AC244" s="2">
        <v>1</v>
      </c>
    </row>
    <row r="245" spans="1:29" x14ac:dyDescent="0.35">
      <c r="A245" s="1" t="s">
        <v>312</v>
      </c>
      <c r="B245" s="1" t="s">
        <v>176</v>
      </c>
      <c r="C245">
        <f>D245+E245+F245+G245+H245+I245</f>
        <v>7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7</v>
      </c>
      <c r="J245" s="2">
        <v>3</v>
      </c>
      <c r="K245">
        <f>J245+L245</f>
        <v>4</v>
      </c>
      <c r="L245" s="2">
        <v>1</v>
      </c>
      <c r="M245" s="2">
        <v>3</v>
      </c>
      <c r="N245" s="2">
        <v>29</v>
      </c>
      <c r="O245" s="3">
        <f>N245/J245</f>
        <v>9.6666666666666661</v>
      </c>
      <c r="P245" s="2">
        <v>0</v>
      </c>
      <c r="Q245" s="2">
        <v>0</v>
      </c>
      <c r="R245" s="2">
        <v>14</v>
      </c>
      <c r="S245" s="2">
        <v>25</v>
      </c>
      <c r="T245" s="2">
        <v>2</v>
      </c>
      <c r="U245" s="2">
        <v>6</v>
      </c>
      <c r="V245" s="2">
        <v>88</v>
      </c>
      <c r="W245" s="3">
        <f>V245/S245</f>
        <v>3.52</v>
      </c>
      <c r="X245" s="3">
        <f>V245/U245</f>
        <v>14.666666666666666</v>
      </c>
      <c r="Y245" s="4">
        <f>S245*6/U245</f>
        <v>25</v>
      </c>
      <c r="Z245" s="2">
        <v>2</v>
      </c>
      <c r="AA245" s="2">
        <v>0</v>
      </c>
      <c r="AB245" s="2">
        <v>0</v>
      </c>
      <c r="AC245" s="2">
        <v>0</v>
      </c>
    </row>
    <row r="246" spans="1:29" x14ac:dyDescent="0.35">
      <c r="A246" s="35" t="s">
        <v>1118</v>
      </c>
      <c r="B246" s="35" t="s">
        <v>1119</v>
      </c>
      <c r="C246">
        <f>D246+E246+F246+G246+H246+I246</f>
        <v>1</v>
      </c>
      <c r="D246" s="5">
        <v>1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1</v>
      </c>
      <c r="K246">
        <f>J246+L246</f>
        <v>1</v>
      </c>
      <c r="L246" s="5">
        <v>0</v>
      </c>
      <c r="M246" s="5">
        <v>0</v>
      </c>
      <c r="N246" s="5">
        <v>3</v>
      </c>
      <c r="O246" s="3">
        <f>N246/J246</f>
        <v>3</v>
      </c>
      <c r="P246" s="5">
        <v>0</v>
      </c>
      <c r="Q246" s="5">
        <v>0</v>
      </c>
      <c r="R246" s="5">
        <v>3</v>
      </c>
      <c r="S246" s="35">
        <v>8</v>
      </c>
      <c r="T246" s="35">
        <v>3</v>
      </c>
      <c r="U246" s="35">
        <v>2</v>
      </c>
      <c r="V246" s="35">
        <v>23</v>
      </c>
      <c r="W246">
        <v>2.88</v>
      </c>
      <c r="X246" s="3">
        <v>11.5</v>
      </c>
      <c r="Y246" s="4">
        <v>24</v>
      </c>
      <c r="Z246" s="35" t="s">
        <v>1120</v>
      </c>
      <c r="AA246" s="5">
        <v>0</v>
      </c>
      <c r="AB246" s="5">
        <v>0</v>
      </c>
      <c r="AC246" s="5">
        <v>1</v>
      </c>
    </row>
    <row r="247" spans="1:29" x14ac:dyDescent="0.35">
      <c r="A247" s="37" t="s">
        <v>1274</v>
      </c>
      <c r="B247" s="37" t="s">
        <v>504</v>
      </c>
      <c r="C247" s="18">
        <f>D247+E247+F247+G247+H247+I247</f>
        <v>56</v>
      </c>
      <c r="D247" s="21">
        <v>0</v>
      </c>
      <c r="E247" s="21">
        <v>0</v>
      </c>
      <c r="F247" s="21">
        <v>14</v>
      </c>
      <c r="G247" s="21">
        <v>16</v>
      </c>
      <c r="H247" s="21">
        <v>15</v>
      </c>
      <c r="I247" s="21">
        <v>11</v>
      </c>
      <c r="J247" s="21">
        <v>49</v>
      </c>
      <c r="K247" s="18">
        <f>J247+L247</f>
        <v>54</v>
      </c>
      <c r="L247" s="21">
        <v>5</v>
      </c>
      <c r="M247" s="21">
        <v>2</v>
      </c>
      <c r="N247" s="21">
        <f>787+30</f>
        <v>817</v>
      </c>
      <c r="O247" s="19">
        <f>N247/J247</f>
        <v>16.673469387755102</v>
      </c>
      <c r="P247" s="21">
        <v>4</v>
      </c>
      <c r="Q247" s="21">
        <v>0</v>
      </c>
      <c r="R247" s="37" t="s">
        <v>1347</v>
      </c>
      <c r="S247" s="37">
        <f>78+5.1</f>
        <v>83.1</v>
      </c>
      <c r="T247" s="37">
        <v>8</v>
      </c>
      <c r="U247" s="37">
        <v>12</v>
      </c>
      <c r="V247" s="37">
        <f>256+17</f>
        <v>273</v>
      </c>
      <c r="W247" s="19">
        <f>V247/S247</f>
        <v>3.2851985559566788</v>
      </c>
      <c r="X247" s="19">
        <f>V247/U247</f>
        <v>22.75</v>
      </c>
      <c r="Y247" s="19">
        <f>246/U247</f>
        <v>20.5</v>
      </c>
      <c r="Z247" s="37" t="s">
        <v>1348</v>
      </c>
      <c r="AA247" s="37">
        <v>0</v>
      </c>
      <c r="AB247" s="37">
        <v>0</v>
      </c>
      <c r="AC247" s="46">
        <v>29</v>
      </c>
    </row>
    <row r="248" spans="1:29" x14ac:dyDescent="0.35">
      <c r="A248" s="1" t="s">
        <v>313</v>
      </c>
      <c r="B248" s="1" t="s">
        <v>87</v>
      </c>
      <c r="C248">
        <f>D248+E248+F248+G248+H248+I248</f>
        <v>4</v>
      </c>
      <c r="D248" s="2">
        <v>0</v>
      </c>
      <c r="E248" s="2">
        <v>0</v>
      </c>
      <c r="F248" s="2">
        <v>1</v>
      </c>
      <c r="G248" s="2">
        <v>3</v>
      </c>
      <c r="H248" s="2">
        <v>0</v>
      </c>
      <c r="I248" s="2">
        <v>0</v>
      </c>
      <c r="J248" s="2">
        <v>1</v>
      </c>
      <c r="K248">
        <f>J248+L248</f>
        <v>4</v>
      </c>
      <c r="L248" s="2">
        <v>3</v>
      </c>
      <c r="M248" s="2">
        <v>1</v>
      </c>
      <c r="N248" s="2">
        <v>10</v>
      </c>
      <c r="O248" s="3">
        <f>N248/J248</f>
        <v>10</v>
      </c>
      <c r="P248" s="2">
        <v>0</v>
      </c>
      <c r="Q248" s="2">
        <v>0</v>
      </c>
      <c r="R248" s="2">
        <v>9</v>
      </c>
      <c r="S248" s="2">
        <v>49</v>
      </c>
      <c r="T248" s="2">
        <v>4</v>
      </c>
      <c r="U248" s="2">
        <v>7</v>
      </c>
      <c r="V248" s="2">
        <v>178</v>
      </c>
      <c r="W248" s="3">
        <f>V248/S248</f>
        <v>3.6326530612244898</v>
      </c>
      <c r="X248" s="3">
        <f>V248/U248</f>
        <v>25.428571428571427</v>
      </c>
      <c r="Y248" s="4">
        <f>S248*6/U248</f>
        <v>42</v>
      </c>
      <c r="Z248" s="2">
        <v>4</v>
      </c>
      <c r="AA248" s="2">
        <v>0</v>
      </c>
      <c r="AB248" s="2">
        <v>0</v>
      </c>
      <c r="AC248" s="2">
        <v>0</v>
      </c>
    </row>
    <row r="249" spans="1:29" x14ac:dyDescent="0.35">
      <c r="A249" s="1" t="s">
        <v>314</v>
      </c>
      <c r="B249" s="1" t="s">
        <v>201</v>
      </c>
      <c r="C249">
        <f>D249+E249+F249+G249+H249+I249</f>
        <v>20</v>
      </c>
      <c r="D249" s="2">
        <v>0</v>
      </c>
      <c r="E249" s="2">
        <v>12</v>
      </c>
      <c r="F249" s="2">
        <v>4</v>
      </c>
      <c r="G249" s="2">
        <v>2</v>
      </c>
      <c r="H249" s="2">
        <v>2</v>
      </c>
      <c r="I249" s="2">
        <v>0</v>
      </c>
      <c r="J249" s="2">
        <v>11</v>
      </c>
      <c r="K249">
        <f>J249+L249</f>
        <v>17</v>
      </c>
      <c r="L249" s="2">
        <v>6</v>
      </c>
      <c r="M249" s="2">
        <v>8</v>
      </c>
      <c r="N249" s="2">
        <v>100</v>
      </c>
      <c r="O249" s="3">
        <f>N249/J249</f>
        <v>9.0909090909090917</v>
      </c>
      <c r="P249" s="2">
        <v>0</v>
      </c>
      <c r="Q249" s="2">
        <v>0</v>
      </c>
      <c r="R249" s="2">
        <v>24</v>
      </c>
      <c r="S249" s="2">
        <v>142</v>
      </c>
      <c r="T249" s="2">
        <v>21</v>
      </c>
      <c r="U249" s="2">
        <v>18</v>
      </c>
      <c r="V249" s="2">
        <v>539</v>
      </c>
      <c r="W249" s="3">
        <f>V249/S249</f>
        <v>3.795774647887324</v>
      </c>
      <c r="X249" s="3">
        <f>V249/U249</f>
        <v>29.944444444444443</v>
      </c>
      <c r="Y249" s="4">
        <f>S249*6/U249</f>
        <v>47.333333333333336</v>
      </c>
      <c r="Z249" s="2">
        <v>5</v>
      </c>
      <c r="AA249" s="2">
        <v>1</v>
      </c>
      <c r="AB249" s="2">
        <v>0</v>
      </c>
      <c r="AC249" s="2">
        <v>0</v>
      </c>
    </row>
    <row r="250" spans="1:29" x14ac:dyDescent="0.35">
      <c r="A250" s="1" t="s">
        <v>314</v>
      </c>
      <c r="B250" s="1" t="s">
        <v>315</v>
      </c>
      <c r="C250">
        <f>D250+E250+F250+G250+H250+I250</f>
        <v>8</v>
      </c>
      <c r="D250" s="2">
        <v>8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6</v>
      </c>
      <c r="K250">
        <f>J250+L250</f>
        <v>7</v>
      </c>
      <c r="L250" s="2">
        <v>1</v>
      </c>
      <c r="M250" s="2">
        <v>1</v>
      </c>
      <c r="N250" s="2">
        <v>86</v>
      </c>
      <c r="O250" s="3">
        <f>N250/J250</f>
        <v>14.333333333333334</v>
      </c>
      <c r="P250" s="2">
        <v>0</v>
      </c>
      <c r="Q250" s="2">
        <v>0</v>
      </c>
      <c r="R250" s="2">
        <v>40</v>
      </c>
      <c r="S250" s="2">
        <v>106</v>
      </c>
      <c r="T250" s="2">
        <v>30</v>
      </c>
      <c r="U250" s="2">
        <v>14</v>
      </c>
      <c r="V250" s="2">
        <v>270</v>
      </c>
      <c r="W250" s="3">
        <f>V250/S250</f>
        <v>2.5471698113207548</v>
      </c>
      <c r="X250" s="3">
        <f>V250/U250</f>
        <v>19.285714285714285</v>
      </c>
      <c r="Y250" s="4">
        <f>S250*6/U250</f>
        <v>45.428571428571431</v>
      </c>
      <c r="Z250" s="2">
        <v>5</v>
      </c>
      <c r="AA250" s="2">
        <v>1</v>
      </c>
      <c r="AB250" s="2">
        <v>0</v>
      </c>
      <c r="AC250" s="2">
        <v>0</v>
      </c>
    </row>
    <row r="251" spans="1:29" x14ac:dyDescent="0.35">
      <c r="A251" s="1" t="s">
        <v>316</v>
      </c>
      <c r="B251" s="1" t="s">
        <v>24</v>
      </c>
      <c r="C251">
        <f>D251+E251+F251+G251+H251+I251</f>
        <v>2</v>
      </c>
      <c r="D251" s="2">
        <v>0</v>
      </c>
      <c r="E251" s="2">
        <v>0</v>
      </c>
      <c r="F251" s="2">
        <v>0</v>
      </c>
      <c r="G251" s="2">
        <v>0</v>
      </c>
      <c r="H251" s="2">
        <v>1</v>
      </c>
      <c r="I251" s="2">
        <v>1</v>
      </c>
      <c r="J251" s="2">
        <v>2</v>
      </c>
      <c r="K251">
        <f>J251+L251</f>
        <v>2</v>
      </c>
      <c r="L251" s="2">
        <v>0</v>
      </c>
      <c r="M251" s="2">
        <v>0</v>
      </c>
      <c r="N251" s="2">
        <v>2</v>
      </c>
      <c r="O251" s="3">
        <f>N251/J251</f>
        <v>1</v>
      </c>
      <c r="P251" s="2">
        <v>0</v>
      </c>
      <c r="Q251" s="2">
        <v>0</v>
      </c>
      <c r="R251" s="2">
        <v>2</v>
      </c>
      <c r="S251" s="2">
        <v>7</v>
      </c>
      <c r="T251" s="2">
        <v>0</v>
      </c>
      <c r="U251" s="2">
        <v>2</v>
      </c>
      <c r="V251" s="2">
        <v>53</v>
      </c>
      <c r="W251" s="3">
        <f>V251/S251</f>
        <v>7.5714285714285712</v>
      </c>
      <c r="X251" s="3">
        <f>V251/U251</f>
        <v>26.5</v>
      </c>
      <c r="Y251" s="4">
        <f>S251*6/U251</f>
        <v>21</v>
      </c>
      <c r="Z251" s="2">
        <v>1</v>
      </c>
      <c r="AA251" s="2">
        <v>0</v>
      </c>
      <c r="AB251" s="2">
        <v>0</v>
      </c>
      <c r="AC251" s="2">
        <v>1</v>
      </c>
    </row>
    <row r="252" spans="1:29" x14ac:dyDescent="0.35">
      <c r="A252" s="1" t="s">
        <v>317</v>
      </c>
      <c r="B252" s="1" t="s">
        <v>110</v>
      </c>
      <c r="C252">
        <f>D252+E252+F252+G252+H252+I252</f>
        <v>27</v>
      </c>
      <c r="D252" s="2">
        <v>0</v>
      </c>
      <c r="E252" s="2">
        <v>5</v>
      </c>
      <c r="F252" s="2">
        <v>14</v>
      </c>
      <c r="G252" s="2">
        <v>8</v>
      </c>
      <c r="H252" s="2">
        <v>0</v>
      </c>
      <c r="I252" s="2">
        <v>0</v>
      </c>
      <c r="J252" s="2">
        <v>18</v>
      </c>
      <c r="K252">
        <f>J252+L252</f>
        <v>28</v>
      </c>
      <c r="L252" s="2">
        <v>10</v>
      </c>
      <c r="M252" s="2">
        <v>9</v>
      </c>
      <c r="N252" s="2">
        <v>191</v>
      </c>
      <c r="O252" s="3">
        <f>N252/J252</f>
        <v>10.611111111111111</v>
      </c>
      <c r="P252" s="2">
        <v>0</v>
      </c>
      <c r="Q252" s="2">
        <v>0</v>
      </c>
      <c r="R252" s="2">
        <v>33</v>
      </c>
      <c r="S252" s="2">
        <v>362</v>
      </c>
      <c r="T252" s="2">
        <v>60</v>
      </c>
      <c r="U252" s="2">
        <v>55</v>
      </c>
      <c r="V252" s="2">
        <v>1087</v>
      </c>
      <c r="W252" s="3">
        <f>V252/S252</f>
        <v>3.0027624309392267</v>
      </c>
      <c r="X252" s="3">
        <f>V252/U252</f>
        <v>19.763636363636362</v>
      </c>
      <c r="Y252" s="4">
        <f>S252*6/U252</f>
        <v>39.490909090909092</v>
      </c>
      <c r="Z252" s="2">
        <v>5</v>
      </c>
      <c r="AA252" s="2">
        <v>3</v>
      </c>
      <c r="AB252" s="2">
        <v>0</v>
      </c>
      <c r="AC252" s="2">
        <v>6</v>
      </c>
    </row>
    <row r="253" spans="1:29" x14ac:dyDescent="0.35">
      <c r="A253" s="1" t="s">
        <v>317</v>
      </c>
      <c r="B253" s="1" t="s">
        <v>87</v>
      </c>
      <c r="C253">
        <f>D253+E253+F253+G253+H253+I253</f>
        <v>23</v>
      </c>
      <c r="D253" s="2">
        <v>0</v>
      </c>
      <c r="E253" s="2">
        <v>0</v>
      </c>
      <c r="F253" s="2">
        <v>2</v>
      </c>
      <c r="G253" s="2">
        <v>13</v>
      </c>
      <c r="H253" s="2">
        <v>1</v>
      </c>
      <c r="I253" s="2">
        <v>7</v>
      </c>
      <c r="J253" s="2">
        <v>24</v>
      </c>
      <c r="K253">
        <f>J253+L253</f>
        <v>28</v>
      </c>
      <c r="L253" s="2">
        <v>4</v>
      </c>
      <c r="M253" s="2">
        <v>0</v>
      </c>
      <c r="N253" s="2">
        <v>364</v>
      </c>
      <c r="O253" s="3">
        <f>N253/J253</f>
        <v>15.166666666666666</v>
      </c>
      <c r="P253" s="2">
        <v>2</v>
      </c>
      <c r="Q253" s="2">
        <v>0</v>
      </c>
      <c r="R253" s="2">
        <v>55</v>
      </c>
      <c r="S253" s="2">
        <v>1</v>
      </c>
      <c r="T253" s="2">
        <v>0</v>
      </c>
      <c r="U253" s="2">
        <v>0</v>
      </c>
      <c r="V253" s="2">
        <v>3</v>
      </c>
      <c r="W253" s="3">
        <f>V253/S253</f>
        <v>3</v>
      </c>
      <c r="X253" s="3" t="e">
        <f>V253/U253</f>
        <v>#DIV/0!</v>
      </c>
      <c r="Y253" s="4" t="e">
        <f>S253*6/U253</f>
        <v>#DIV/0!</v>
      </c>
      <c r="Z253" s="2">
        <v>0</v>
      </c>
      <c r="AA253" s="2">
        <v>0</v>
      </c>
      <c r="AB253" s="2">
        <v>0</v>
      </c>
      <c r="AC253" s="2">
        <v>3</v>
      </c>
    </row>
    <row r="254" spans="1:29" x14ac:dyDescent="0.35">
      <c r="A254" s="1" t="s">
        <v>317</v>
      </c>
      <c r="B254" s="1" t="s">
        <v>97</v>
      </c>
      <c r="C254">
        <f>D254+E254+F254+G254+H254+I254</f>
        <v>11</v>
      </c>
      <c r="D254" s="2">
        <v>0</v>
      </c>
      <c r="E254" s="2">
        <v>9</v>
      </c>
      <c r="F254" s="2">
        <v>2</v>
      </c>
      <c r="G254" s="2">
        <v>0</v>
      </c>
      <c r="H254" s="2">
        <v>0</v>
      </c>
      <c r="I254" s="2">
        <v>0</v>
      </c>
      <c r="J254" s="2">
        <v>12</v>
      </c>
      <c r="K254">
        <f>J254+L254</f>
        <v>12</v>
      </c>
      <c r="L254" s="2">
        <v>0</v>
      </c>
      <c r="M254" s="2">
        <v>1</v>
      </c>
      <c r="N254" s="2">
        <v>61</v>
      </c>
      <c r="O254" s="3">
        <f>N254/J254</f>
        <v>5.083333333333333</v>
      </c>
      <c r="P254" s="2">
        <v>0</v>
      </c>
      <c r="Q254" s="2">
        <v>0</v>
      </c>
      <c r="R254" s="2">
        <v>18</v>
      </c>
      <c r="S254" s="2">
        <v>3</v>
      </c>
      <c r="T254" s="2">
        <v>0</v>
      </c>
      <c r="U254" s="2">
        <v>0</v>
      </c>
      <c r="V254" s="2">
        <v>16</v>
      </c>
      <c r="W254" s="3">
        <f>V254/S254</f>
        <v>5.333333333333333</v>
      </c>
      <c r="X254" s="3" t="e">
        <f>V254/U254</f>
        <v>#DIV/0!</v>
      </c>
      <c r="Y254" s="4" t="e">
        <f>S254*6/U254</f>
        <v>#DIV/0!</v>
      </c>
      <c r="Z254" s="2">
        <v>0</v>
      </c>
      <c r="AA254" s="2">
        <v>0</v>
      </c>
      <c r="AB254" s="2">
        <v>0</v>
      </c>
      <c r="AC254" s="2">
        <v>0</v>
      </c>
    </row>
    <row r="255" spans="1:29" x14ac:dyDescent="0.35">
      <c r="A255" s="1" t="s">
        <v>318</v>
      </c>
      <c r="B255" s="1" t="s">
        <v>319</v>
      </c>
      <c r="C255">
        <f>D255+E255+F255+G255+H255+I255</f>
        <v>10</v>
      </c>
      <c r="D255" s="2">
        <v>0</v>
      </c>
      <c r="E255" s="2">
        <v>0</v>
      </c>
      <c r="F255" s="2">
        <v>0</v>
      </c>
      <c r="G255" s="2">
        <v>2</v>
      </c>
      <c r="H255" s="2">
        <v>8</v>
      </c>
      <c r="I255" s="2">
        <v>0</v>
      </c>
      <c r="J255" s="2">
        <v>7</v>
      </c>
      <c r="K255">
        <f>J255+L255</f>
        <v>8</v>
      </c>
      <c r="L255" s="2">
        <v>1</v>
      </c>
      <c r="M255" s="2">
        <v>3</v>
      </c>
      <c r="N255" s="2">
        <v>23</v>
      </c>
      <c r="O255" s="3">
        <f>N255/J255</f>
        <v>3.2857142857142856</v>
      </c>
      <c r="P255" s="2">
        <v>0</v>
      </c>
      <c r="Q255" s="2">
        <v>0</v>
      </c>
      <c r="R255" s="2">
        <v>16</v>
      </c>
      <c r="S255" s="2">
        <v>42</v>
      </c>
      <c r="T255" s="2">
        <v>4</v>
      </c>
      <c r="U255" s="2">
        <v>4</v>
      </c>
      <c r="V255" s="2">
        <v>142</v>
      </c>
      <c r="W255" s="3">
        <f>V255/S255</f>
        <v>3.3809523809523809</v>
      </c>
      <c r="X255" s="3">
        <f>V255/U255</f>
        <v>35.5</v>
      </c>
      <c r="Y255" s="4">
        <f>S255*6/U255</f>
        <v>63</v>
      </c>
      <c r="Z255" s="2">
        <v>1</v>
      </c>
      <c r="AA255" s="2">
        <v>0</v>
      </c>
      <c r="AB255" s="2">
        <v>0</v>
      </c>
      <c r="AC255" s="2">
        <v>4</v>
      </c>
    </row>
    <row r="256" spans="1:29" x14ac:dyDescent="0.35">
      <c r="A256" t="s">
        <v>1223</v>
      </c>
      <c r="B256" t="s">
        <v>1224</v>
      </c>
      <c r="C256">
        <f>D256+E256+F256+G256+H256+I256</f>
        <v>11</v>
      </c>
      <c r="D256" s="5">
        <v>0</v>
      </c>
      <c r="E256" s="5">
        <v>0</v>
      </c>
      <c r="F256" s="5">
        <v>11</v>
      </c>
      <c r="G256" s="5">
        <v>0</v>
      </c>
      <c r="H256" s="5">
        <v>0</v>
      </c>
      <c r="I256" s="5">
        <v>0</v>
      </c>
      <c r="J256" s="5">
        <v>7</v>
      </c>
      <c r="K256">
        <f>J256+L256</f>
        <v>9</v>
      </c>
      <c r="L256" s="5">
        <v>2</v>
      </c>
      <c r="M256" s="5">
        <v>2</v>
      </c>
      <c r="N256" s="5">
        <v>113</v>
      </c>
      <c r="O256" s="3">
        <f>N256/J256</f>
        <v>16.142857142857142</v>
      </c>
      <c r="P256" s="5">
        <v>0</v>
      </c>
      <c r="Q256" s="5">
        <v>0</v>
      </c>
      <c r="R256" s="5">
        <v>37</v>
      </c>
      <c r="S256">
        <v>82.2</v>
      </c>
      <c r="T256">
        <v>10</v>
      </c>
      <c r="U256">
        <v>24</v>
      </c>
      <c r="V256">
        <v>289</v>
      </c>
      <c r="W256" s="3">
        <f>V256/S256</f>
        <v>3.5158150851581507</v>
      </c>
      <c r="X256" s="3">
        <f>289/24</f>
        <v>12.041666666666666</v>
      </c>
      <c r="Y256" s="3">
        <f>494/U256</f>
        <v>20.583333333333332</v>
      </c>
      <c r="Z256" t="s">
        <v>1225</v>
      </c>
      <c r="AA256">
        <v>0</v>
      </c>
      <c r="AB256">
        <v>0</v>
      </c>
      <c r="AC256">
        <v>4</v>
      </c>
    </row>
    <row r="257" spans="1:29" x14ac:dyDescent="0.35">
      <c r="A257" s="1" t="s">
        <v>320</v>
      </c>
      <c r="B257" s="1" t="s">
        <v>321</v>
      </c>
      <c r="C257">
        <f>D257+E257+F257+G257+H257+I257</f>
        <v>5</v>
      </c>
      <c r="D257" s="2">
        <v>0</v>
      </c>
      <c r="E257" s="2">
        <v>0</v>
      </c>
      <c r="F257" s="2">
        <v>0</v>
      </c>
      <c r="G257" s="2">
        <v>0</v>
      </c>
      <c r="H257" s="2">
        <v>4</v>
      </c>
      <c r="I257" s="2">
        <v>1</v>
      </c>
      <c r="J257" s="2">
        <v>5</v>
      </c>
      <c r="K257">
        <f>J257+L257</f>
        <v>6</v>
      </c>
      <c r="L257" s="2">
        <v>1</v>
      </c>
      <c r="M257" s="2">
        <v>0</v>
      </c>
      <c r="N257" s="2">
        <v>104</v>
      </c>
      <c r="O257" s="3">
        <f>N257/J257</f>
        <v>20.8</v>
      </c>
      <c r="P257" s="2">
        <v>1</v>
      </c>
      <c r="Q257" s="2">
        <v>0</v>
      </c>
      <c r="R257" s="2">
        <v>68</v>
      </c>
      <c r="S257" s="2">
        <v>0</v>
      </c>
      <c r="T257" s="2">
        <v>0</v>
      </c>
      <c r="U257" s="2">
        <v>0</v>
      </c>
      <c r="V257" s="2">
        <v>0</v>
      </c>
      <c r="W257" s="3" t="e">
        <f>V257/S257</f>
        <v>#DIV/0!</v>
      </c>
      <c r="X257" s="3" t="e">
        <f>V257/U257</f>
        <v>#DIV/0!</v>
      </c>
      <c r="Y257" s="4" t="e">
        <f>S257*6/U257</f>
        <v>#DIV/0!</v>
      </c>
      <c r="Z257" s="2">
        <v>0</v>
      </c>
      <c r="AA257" s="2">
        <v>0</v>
      </c>
      <c r="AB257" s="2">
        <v>0</v>
      </c>
      <c r="AC257" s="2">
        <v>0</v>
      </c>
    </row>
    <row r="258" spans="1:29" x14ac:dyDescent="0.35">
      <c r="A258" s="1" t="s">
        <v>322</v>
      </c>
      <c r="B258" s="1" t="s">
        <v>323</v>
      </c>
      <c r="C258">
        <f>D258+E258+F258+G258+H258+I258</f>
        <v>97</v>
      </c>
      <c r="D258" s="2">
        <v>0</v>
      </c>
      <c r="E258" s="2">
        <v>0</v>
      </c>
      <c r="F258" s="2">
        <v>0</v>
      </c>
      <c r="G258" s="2">
        <v>0</v>
      </c>
      <c r="H258" s="2">
        <v>76</v>
      </c>
      <c r="I258" s="2">
        <v>21</v>
      </c>
      <c r="J258" s="2">
        <v>34</v>
      </c>
      <c r="K258">
        <f>J258+L258</f>
        <v>50</v>
      </c>
      <c r="L258" s="2">
        <v>16</v>
      </c>
      <c r="M258" s="2">
        <v>55</v>
      </c>
      <c r="N258" s="2">
        <v>229</v>
      </c>
      <c r="O258" s="3">
        <f>N258/J258</f>
        <v>6.7352941176470589</v>
      </c>
      <c r="P258" s="2">
        <v>0</v>
      </c>
      <c r="Q258" s="2">
        <v>0</v>
      </c>
      <c r="R258" s="2">
        <v>38</v>
      </c>
      <c r="S258" s="2">
        <v>886</v>
      </c>
      <c r="T258" s="2">
        <v>202</v>
      </c>
      <c r="U258" s="2">
        <v>127</v>
      </c>
      <c r="V258" s="2">
        <v>2232</v>
      </c>
      <c r="W258" s="3">
        <f>V258/S258</f>
        <v>2.5191873589164784</v>
      </c>
      <c r="X258" s="3">
        <f>V258/U258</f>
        <v>17.5748031496063</v>
      </c>
      <c r="Y258" s="4">
        <f>S258*6/U258</f>
        <v>41.85826771653543</v>
      </c>
      <c r="Z258" s="2">
        <v>6</v>
      </c>
      <c r="AA258" s="2">
        <v>1</v>
      </c>
      <c r="AB258" s="2">
        <v>0</v>
      </c>
      <c r="AC258" s="2">
        <v>4</v>
      </c>
    </row>
    <row r="259" spans="1:29" x14ac:dyDescent="0.35">
      <c r="A259" s="1" t="s">
        <v>322</v>
      </c>
      <c r="B259" s="1" t="s">
        <v>110</v>
      </c>
      <c r="C259">
        <f>D259+E259+F259+G259+H259+I259</f>
        <v>1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1</v>
      </c>
      <c r="J259" s="2">
        <v>1</v>
      </c>
      <c r="K259">
        <f>J259+L259</f>
        <v>1</v>
      </c>
      <c r="L259" s="2">
        <v>0</v>
      </c>
      <c r="M259" s="2">
        <v>0</v>
      </c>
      <c r="N259" s="2">
        <v>2</v>
      </c>
      <c r="O259" s="3">
        <f>N259/J259</f>
        <v>2</v>
      </c>
      <c r="P259" s="2">
        <v>0</v>
      </c>
      <c r="Q259" s="2">
        <v>0</v>
      </c>
      <c r="R259" s="2">
        <v>2</v>
      </c>
      <c r="S259" s="2">
        <v>5</v>
      </c>
      <c r="T259" s="2">
        <v>0</v>
      </c>
      <c r="U259" s="2">
        <v>1</v>
      </c>
      <c r="V259" s="2">
        <v>22</v>
      </c>
      <c r="W259" s="3">
        <f>V259/S259</f>
        <v>4.4000000000000004</v>
      </c>
      <c r="X259" s="3">
        <f>V259/U259</f>
        <v>22</v>
      </c>
      <c r="Y259" s="4">
        <f>S259*6/U259</f>
        <v>30</v>
      </c>
      <c r="Z259" s="2">
        <v>1</v>
      </c>
      <c r="AA259" s="2">
        <v>0</v>
      </c>
      <c r="AB259" s="2">
        <v>0</v>
      </c>
      <c r="AC259" s="2">
        <v>0</v>
      </c>
    </row>
    <row r="260" spans="1:29" x14ac:dyDescent="0.35">
      <c r="A260" s="1" t="s">
        <v>324</v>
      </c>
      <c r="B260" s="1" t="s">
        <v>325</v>
      </c>
      <c r="C260">
        <f>D260+E260+F260+G260+H260+I260</f>
        <v>41</v>
      </c>
      <c r="D260" s="2">
        <v>0</v>
      </c>
      <c r="E260" s="2">
        <v>4</v>
      </c>
      <c r="F260" s="2">
        <v>6</v>
      </c>
      <c r="G260" s="2">
        <v>21</v>
      </c>
      <c r="H260" s="2">
        <v>1</v>
      </c>
      <c r="I260" s="2">
        <v>9</v>
      </c>
      <c r="J260" s="2">
        <v>30</v>
      </c>
      <c r="K260">
        <f>J260+L260</f>
        <v>36</v>
      </c>
      <c r="L260" s="2">
        <v>6</v>
      </c>
      <c r="M260" s="2">
        <v>10</v>
      </c>
      <c r="N260" s="2">
        <v>319</v>
      </c>
      <c r="O260" s="3">
        <f>N260/J260</f>
        <v>10.633333333333333</v>
      </c>
      <c r="P260" s="2">
        <v>0</v>
      </c>
      <c r="Q260" s="2">
        <v>0</v>
      </c>
      <c r="R260" s="2">
        <v>46</v>
      </c>
      <c r="S260" s="2">
        <v>257</v>
      </c>
      <c r="T260" s="2">
        <v>67</v>
      </c>
      <c r="U260" s="2">
        <v>44</v>
      </c>
      <c r="V260" s="2">
        <v>748</v>
      </c>
      <c r="W260" s="3">
        <f>V260/S260</f>
        <v>2.9105058365758754</v>
      </c>
      <c r="X260" s="3">
        <f>V260/U260</f>
        <v>17</v>
      </c>
      <c r="Y260" s="4">
        <f>S260*6/U260</f>
        <v>35.045454545454547</v>
      </c>
      <c r="Z260" s="2">
        <v>7</v>
      </c>
      <c r="AA260" s="2">
        <v>1</v>
      </c>
      <c r="AB260" s="2">
        <v>0</v>
      </c>
      <c r="AC260" s="2">
        <v>10</v>
      </c>
    </row>
    <row r="261" spans="1:29" x14ac:dyDescent="0.35">
      <c r="A261" s="1" t="s">
        <v>326</v>
      </c>
      <c r="B261" s="1" t="s">
        <v>327</v>
      </c>
      <c r="C261">
        <f>D261+E261+F261+G261+H261+I261</f>
        <v>1</v>
      </c>
      <c r="D261" s="2">
        <v>0</v>
      </c>
      <c r="E261" s="2">
        <v>0</v>
      </c>
      <c r="F261" s="2">
        <v>1</v>
      </c>
      <c r="G261" s="2">
        <v>0</v>
      </c>
      <c r="H261" s="2">
        <v>0</v>
      </c>
      <c r="I261" s="2">
        <v>0</v>
      </c>
      <c r="J261" s="2">
        <v>1</v>
      </c>
      <c r="K261">
        <f>J261+L261</f>
        <v>1</v>
      </c>
      <c r="L261" s="2">
        <v>0</v>
      </c>
      <c r="M261" s="2">
        <v>0</v>
      </c>
      <c r="N261" s="2">
        <v>1</v>
      </c>
      <c r="O261" s="3">
        <f>N261/J261</f>
        <v>1</v>
      </c>
      <c r="P261" s="2">
        <v>0</v>
      </c>
      <c r="Q261" s="2">
        <v>0</v>
      </c>
      <c r="R261" s="2">
        <v>1</v>
      </c>
      <c r="S261" s="2">
        <v>0</v>
      </c>
      <c r="T261" s="2">
        <v>0</v>
      </c>
      <c r="U261" s="2">
        <v>0</v>
      </c>
      <c r="V261" s="2">
        <v>0</v>
      </c>
      <c r="W261" s="3" t="e">
        <f>V261/S261</f>
        <v>#DIV/0!</v>
      </c>
      <c r="X261" s="3" t="e">
        <f>V261/U261</f>
        <v>#DIV/0!</v>
      </c>
      <c r="Y261" s="4" t="e">
        <f>S261*6/U261</f>
        <v>#DIV/0!</v>
      </c>
      <c r="Z261" s="2">
        <v>0</v>
      </c>
      <c r="AA261" s="2">
        <v>0</v>
      </c>
      <c r="AB261" s="2">
        <v>0</v>
      </c>
      <c r="AC261" s="2">
        <v>0</v>
      </c>
    </row>
    <row r="262" spans="1:29" x14ac:dyDescent="0.35">
      <c r="A262" s="1" t="s">
        <v>328</v>
      </c>
      <c r="B262" s="1" t="s">
        <v>265</v>
      </c>
      <c r="C262">
        <f>D262+E262+F262+G262+H262+I262</f>
        <v>4</v>
      </c>
      <c r="D262" s="2">
        <v>0</v>
      </c>
      <c r="E262" s="2">
        <v>0</v>
      </c>
      <c r="F262" s="2">
        <v>0</v>
      </c>
      <c r="G262" s="2">
        <v>0</v>
      </c>
      <c r="H262" s="2">
        <v>4</v>
      </c>
      <c r="I262" s="2">
        <v>0</v>
      </c>
      <c r="J262" s="2">
        <v>4</v>
      </c>
      <c r="K262">
        <f>J262+L262</f>
        <v>4</v>
      </c>
      <c r="L262" s="2">
        <v>0</v>
      </c>
      <c r="M262" s="2">
        <v>0</v>
      </c>
      <c r="N262" s="2">
        <v>21</v>
      </c>
      <c r="O262" s="3">
        <f>N262/J262</f>
        <v>5.25</v>
      </c>
      <c r="P262" s="2">
        <v>0</v>
      </c>
      <c r="Q262" s="2">
        <v>0</v>
      </c>
      <c r="R262" s="2">
        <v>10</v>
      </c>
      <c r="S262" s="2">
        <v>9</v>
      </c>
      <c r="T262" s="2">
        <v>0</v>
      </c>
      <c r="U262" s="2">
        <v>0</v>
      </c>
      <c r="V262" s="2">
        <v>55</v>
      </c>
      <c r="W262" s="3">
        <f>V262/S262</f>
        <v>6.1111111111111107</v>
      </c>
      <c r="X262" s="3" t="e">
        <f>V262/U262</f>
        <v>#DIV/0!</v>
      </c>
      <c r="Y262" s="4" t="e">
        <f>S262*6/U262</f>
        <v>#DIV/0!</v>
      </c>
      <c r="Z262" s="2">
        <v>0</v>
      </c>
      <c r="AA262" s="2">
        <v>0</v>
      </c>
      <c r="AB262" s="2">
        <v>0</v>
      </c>
      <c r="AC262" s="2">
        <v>1</v>
      </c>
    </row>
    <row r="263" spans="1:29" x14ac:dyDescent="0.35">
      <c r="A263" s="1" t="s">
        <v>329</v>
      </c>
      <c r="B263" s="1" t="s">
        <v>330</v>
      </c>
      <c r="C263">
        <f>D263+E263+F263+G263+H263+I263</f>
        <v>11</v>
      </c>
      <c r="D263" s="2">
        <v>1</v>
      </c>
      <c r="E263" s="2">
        <v>6</v>
      </c>
      <c r="F263" s="2">
        <v>3</v>
      </c>
      <c r="G263" s="2">
        <v>0</v>
      </c>
      <c r="H263" s="2">
        <v>1</v>
      </c>
      <c r="I263" s="2">
        <v>0</v>
      </c>
      <c r="J263" s="2">
        <v>11</v>
      </c>
      <c r="K263">
        <f>J263+L263</f>
        <v>12</v>
      </c>
      <c r="L263" s="2">
        <v>1</v>
      </c>
      <c r="M263" s="2">
        <v>1</v>
      </c>
      <c r="N263" s="2">
        <v>136</v>
      </c>
      <c r="O263" s="3">
        <f>N263/J263</f>
        <v>12.363636363636363</v>
      </c>
      <c r="P263" s="2">
        <v>0</v>
      </c>
      <c r="Q263" s="2">
        <v>0</v>
      </c>
      <c r="R263" s="2">
        <v>38</v>
      </c>
      <c r="S263" s="2">
        <v>7</v>
      </c>
      <c r="T263" s="2">
        <v>0</v>
      </c>
      <c r="U263" s="2">
        <v>1</v>
      </c>
      <c r="V263" s="2">
        <v>16</v>
      </c>
      <c r="W263" s="3">
        <f>V263/S263</f>
        <v>2.2857142857142856</v>
      </c>
      <c r="X263" s="3">
        <f>V263/U263</f>
        <v>16</v>
      </c>
      <c r="Y263" s="4">
        <f>S263*6/U263</f>
        <v>42</v>
      </c>
      <c r="Z263" s="2">
        <v>1</v>
      </c>
      <c r="AA263" s="2">
        <v>0</v>
      </c>
      <c r="AB263" s="2">
        <v>0</v>
      </c>
      <c r="AC263" s="2">
        <v>8</v>
      </c>
    </row>
    <row r="264" spans="1:29" x14ac:dyDescent="0.35">
      <c r="A264" s="1" t="s">
        <v>331</v>
      </c>
      <c r="B264" s="1" t="s">
        <v>332</v>
      </c>
      <c r="C264">
        <f>D264+E264+F264+G264+H264+I264</f>
        <v>53</v>
      </c>
      <c r="D264" s="2">
        <v>53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36</v>
      </c>
      <c r="K264">
        <f>J264+L264</f>
        <v>47</v>
      </c>
      <c r="L264" s="2">
        <v>11</v>
      </c>
      <c r="M264" s="2">
        <v>6</v>
      </c>
      <c r="N264" s="2">
        <f>878+385</f>
        <v>1263</v>
      </c>
      <c r="O264" s="3">
        <f>N264/J264</f>
        <v>35.083333333333336</v>
      </c>
      <c r="P264" s="2">
        <v>8</v>
      </c>
      <c r="Q264" s="2">
        <v>0</v>
      </c>
      <c r="R264" s="2">
        <v>84</v>
      </c>
      <c r="S264" s="2">
        <f>365+56</f>
        <v>421</v>
      </c>
      <c r="T264" s="2">
        <v>75</v>
      </c>
      <c r="U264" s="2">
        <f>68+19</f>
        <v>87</v>
      </c>
      <c r="V264" s="2">
        <f>1105+219</f>
        <v>1324</v>
      </c>
      <c r="W264" s="3">
        <f>V264/S264</f>
        <v>3.1448931116389547</v>
      </c>
      <c r="X264" s="3">
        <f>V264/U264</f>
        <v>15.218390804597702</v>
      </c>
      <c r="Y264" s="4">
        <f>S264*6/U264</f>
        <v>29.03448275862069</v>
      </c>
      <c r="Z264" s="2">
        <v>5</v>
      </c>
      <c r="AA264" s="2">
        <v>3</v>
      </c>
      <c r="AB264" s="2">
        <v>0</v>
      </c>
      <c r="AC264" s="2">
        <v>14</v>
      </c>
    </row>
    <row r="265" spans="1:29" x14ac:dyDescent="0.35">
      <c r="A265" s="1" t="s">
        <v>333</v>
      </c>
      <c r="B265" s="1" t="s">
        <v>334</v>
      </c>
      <c r="C265">
        <f>D265+E265+F265+G265+H265+I265</f>
        <v>2</v>
      </c>
      <c r="D265" s="2">
        <v>0</v>
      </c>
      <c r="E265" s="2">
        <v>0</v>
      </c>
      <c r="F265" s="2">
        <v>1</v>
      </c>
      <c r="G265" s="2">
        <v>1</v>
      </c>
      <c r="H265" s="2">
        <v>0</v>
      </c>
      <c r="I265" s="2">
        <v>0</v>
      </c>
      <c r="J265" s="2">
        <v>1</v>
      </c>
      <c r="K265">
        <f>J265+L265</f>
        <v>1</v>
      </c>
      <c r="L265" s="2">
        <v>0</v>
      </c>
      <c r="M265" s="2">
        <v>1</v>
      </c>
      <c r="N265" s="2">
        <v>1</v>
      </c>
      <c r="O265" s="3">
        <f>N265/J265</f>
        <v>1</v>
      </c>
      <c r="P265" s="2">
        <v>0</v>
      </c>
      <c r="Q265" s="2">
        <v>0</v>
      </c>
      <c r="R265" s="2">
        <v>1</v>
      </c>
      <c r="S265" s="2">
        <v>6</v>
      </c>
      <c r="T265" s="2">
        <v>0</v>
      </c>
      <c r="U265" s="2">
        <v>0</v>
      </c>
      <c r="V265" s="2">
        <v>48</v>
      </c>
      <c r="W265" s="3">
        <f>V265/S265</f>
        <v>8</v>
      </c>
      <c r="X265" s="3" t="e">
        <f>V265/U265</f>
        <v>#DIV/0!</v>
      </c>
      <c r="Y265" s="4" t="e">
        <f>S265*6/U265</f>
        <v>#DIV/0!</v>
      </c>
      <c r="Z265" s="2">
        <v>0</v>
      </c>
      <c r="AA265" s="2">
        <v>0</v>
      </c>
      <c r="AB265" s="2">
        <v>0</v>
      </c>
      <c r="AC265" s="2">
        <v>0</v>
      </c>
    </row>
    <row r="266" spans="1:29" x14ac:dyDescent="0.35">
      <c r="A266" s="1" t="s">
        <v>335</v>
      </c>
      <c r="B266" s="1" t="s">
        <v>336</v>
      </c>
      <c r="C266">
        <f>D266+E266+F266+G266+H266+I266</f>
        <v>6</v>
      </c>
      <c r="D266" s="2">
        <v>0</v>
      </c>
      <c r="E266" s="2">
        <v>1</v>
      </c>
      <c r="F266" s="2">
        <v>5</v>
      </c>
      <c r="G266" s="2">
        <v>0</v>
      </c>
      <c r="H266" s="2">
        <v>0</v>
      </c>
      <c r="I266" s="2">
        <v>0</v>
      </c>
      <c r="J266" s="2">
        <v>4</v>
      </c>
      <c r="K266">
        <f>J266+L266</f>
        <v>5</v>
      </c>
      <c r="L266" s="2">
        <v>1</v>
      </c>
      <c r="M266" s="2">
        <v>1</v>
      </c>
      <c r="N266" s="2">
        <v>46</v>
      </c>
      <c r="O266" s="3">
        <f>N266/J266</f>
        <v>11.5</v>
      </c>
      <c r="P266" s="2">
        <v>0</v>
      </c>
      <c r="Q266" s="2">
        <v>0</v>
      </c>
      <c r="R266" s="2">
        <v>23</v>
      </c>
      <c r="S266" s="2">
        <v>50</v>
      </c>
      <c r="T266" s="2">
        <v>1</v>
      </c>
      <c r="U266" s="2">
        <v>9</v>
      </c>
      <c r="V266" s="2">
        <v>118</v>
      </c>
      <c r="W266" s="3">
        <f>V266/S266</f>
        <v>2.36</v>
      </c>
      <c r="X266" s="3">
        <f>V266/U266</f>
        <v>13.111111111111111</v>
      </c>
      <c r="Y266" s="4">
        <f>S266*6/U266</f>
        <v>33.333333333333336</v>
      </c>
      <c r="Z266" s="2">
        <v>3</v>
      </c>
      <c r="AA266" s="2">
        <v>0</v>
      </c>
      <c r="AB266" s="2">
        <v>0</v>
      </c>
      <c r="AC266" s="2">
        <v>0</v>
      </c>
    </row>
    <row r="267" spans="1:29" x14ac:dyDescent="0.35">
      <c r="A267" s="15" t="s">
        <v>337</v>
      </c>
      <c r="B267" s="15" t="s">
        <v>94</v>
      </c>
      <c r="C267" s="18">
        <f>D267+E267+F267+G267+H267+I267</f>
        <v>252</v>
      </c>
      <c r="D267" s="16">
        <v>74</v>
      </c>
      <c r="E267" s="16">
        <v>152</v>
      </c>
      <c r="F267" s="16">
        <v>12</v>
      </c>
      <c r="G267" s="16">
        <v>4</v>
      </c>
      <c r="H267" s="16">
        <v>5</v>
      </c>
      <c r="I267" s="16">
        <v>5</v>
      </c>
      <c r="J267" s="16">
        <v>226</v>
      </c>
      <c r="K267" s="18">
        <f>J267+L267</f>
        <v>266</v>
      </c>
      <c r="L267" s="16">
        <v>40</v>
      </c>
      <c r="M267" s="16">
        <v>37</v>
      </c>
      <c r="N267" s="16">
        <v>3980</v>
      </c>
      <c r="O267" s="19">
        <f>N267/J267</f>
        <v>17.610619469026549</v>
      </c>
      <c r="P267" s="16">
        <v>9</v>
      </c>
      <c r="Q267" s="16">
        <v>2</v>
      </c>
      <c r="R267" s="16">
        <v>131</v>
      </c>
      <c r="S267" s="16">
        <f>1683.5+7</f>
        <v>1690.5</v>
      </c>
      <c r="T267" s="16">
        <v>331</v>
      </c>
      <c r="U267" s="16">
        <v>263</v>
      </c>
      <c r="V267" s="16">
        <f>5501+80</f>
        <v>5581</v>
      </c>
      <c r="W267" s="19">
        <f>V267/S267</f>
        <v>3.3013901212658978</v>
      </c>
      <c r="X267" s="19">
        <f>V267/U267</f>
        <v>21.220532319391634</v>
      </c>
      <c r="Y267" s="20">
        <f>S267*6/U267</f>
        <v>38.566539923954373</v>
      </c>
      <c r="Z267" s="16">
        <v>6</v>
      </c>
      <c r="AA267" s="16">
        <v>3</v>
      </c>
      <c r="AB267" s="16">
        <v>0</v>
      </c>
      <c r="AC267" s="16">
        <v>75</v>
      </c>
    </row>
    <row r="268" spans="1:29" x14ac:dyDescent="0.35">
      <c r="A268" s="1" t="s">
        <v>338</v>
      </c>
      <c r="B268" s="1" t="s">
        <v>212</v>
      </c>
      <c r="C268">
        <f>D268+E268+F268+G268+H268+I268</f>
        <v>73</v>
      </c>
      <c r="D268" s="2">
        <v>22</v>
      </c>
      <c r="E268" s="2">
        <v>18</v>
      </c>
      <c r="F268" s="2">
        <v>11</v>
      </c>
      <c r="G268" s="2">
        <v>13</v>
      </c>
      <c r="H268" s="2">
        <v>7</v>
      </c>
      <c r="I268" s="2">
        <v>2</v>
      </c>
      <c r="J268" s="2">
        <v>68</v>
      </c>
      <c r="K268">
        <f>J268+L268</f>
        <v>84</v>
      </c>
      <c r="L268" s="2">
        <v>16</v>
      </c>
      <c r="M268" s="2">
        <v>13</v>
      </c>
      <c r="N268" s="2">
        <v>1395</v>
      </c>
      <c r="O268" s="3">
        <f>N268/J268</f>
        <v>20.514705882352942</v>
      </c>
      <c r="P268" s="2">
        <v>4</v>
      </c>
      <c r="Q268" s="2">
        <v>1</v>
      </c>
      <c r="R268" s="2">
        <v>102</v>
      </c>
      <c r="S268" s="2">
        <v>871</v>
      </c>
      <c r="T268" s="2">
        <v>201</v>
      </c>
      <c r="U268" s="2">
        <v>133</v>
      </c>
      <c r="V268" s="2">
        <v>2457</v>
      </c>
      <c r="W268" s="3">
        <f>V268/S268</f>
        <v>2.8208955223880596</v>
      </c>
      <c r="X268" s="3">
        <f>V268/U268</f>
        <v>18.473684210526315</v>
      </c>
      <c r="Y268" s="4">
        <f>S268*6/U268</f>
        <v>39.29323308270677</v>
      </c>
      <c r="Z268" s="2">
        <v>5</v>
      </c>
      <c r="AA268" s="2">
        <v>3</v>
      </c>
      <c r="AB268" s="2">
        <v>0</v>
      </c>
      <c r="AC268" s="2">
        <v>23</v>
      </c>
    </row>
    <row r="269" spans="1:29" x14ac:dyDescent="0.35">
      <c r="A269" s="1" t="s">
        <v>339</v>
      </c>
      <c r="B269" s="1" t="s">
        <v>127</v>
      </c>
      <c r="C269">
        <f>D269+E269+F269+G269+H269+I269</f>
        <v>6</v>
      </c>
      <c r="D269" s="2">
        <v>0</v>
      </c>
      <c r="E269" s="2">
        <v>0</v>
      </c>
      <c r="F269" s="2">
        <v>0</v>
      </c>
      <c r="G269" s="2">
        <v>0</v>
      </c>
      <c r="H269" s="2">
        <v>1</v>
      </c>
      <c r="I269" s="2">
        <v>5</v>
      </c>
      <c r="J269" s="2">
        <v>5</v>
      </c>
      <c r="K269">
        <f>J269+L269</f>
        <v>6</v>
      </c>
      <c r="L269" s="2">
        <v>1</v>
      </c>
      <c r="M269" s="2">
        <v>1</v>
      </c>
      <c r="N269" s="2">
        <v>99</v>
      </c>
      <c r="O269" s="3">
        <f>N269/J269</f>
        <v>19.8</v>
      </c>
      <c r="P269" s="2">
        <v>0</v>
      </c>
      <c r="Q269" s="2">
        <v>0</v>
      </c>
      <c r="R269" s="2">
        <v>48</v>
      </c>
      <c r="S269" s="2">
        <v>0</v>
      </c>
      <c r="T269" s="2">
        <v>0</v>
      </c>
      <c r="U269" s="2">
        <v>0</v>
      </c>
      <c r="V269" s="2">
        <v>0</v>
      </c>
      <c r="W269" s="3" t="e">
        <f>V269/S269</f>
        <v>#DIV/0!</v>
      </c>
      <c r="X269" s="3" t="e">
        <f>V269/U269</f>
        <v>#DIV/0!</v>
      </c>
      <c r="Y269" s="4" t="e">
        <f>S269*6/U269</f>
        <v>#DIV/0!</v>
      </c>
      <c r="Z269" s="2">
        <v>0</v>
      </c>
      <c r="AA269" s="2">
        <v>0</v>
      </c>
      <c r="AB269" s="2">
        <v>0</v>
      </c>
      <c r="AC269" s="2">
        <v>7</v>
      </c>
    </row>
    <row r="270" spans="1:29" x14ac:dyDescent="0.35">
      <c r="A270" s="1" t="s">
        <v>340</v>
      </c>
      <c r="B270" s="1" t="s">
        <v>321</v>
      </c>
      <c r="C270">
        <f>D270+E270+F270+G270+H270+I270</f>
        <v>2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2</v>
      </c>
      <c r="J270" s="2">
        <v>2</v>
      </c>
      <c r="K270">
        <f>J270+L270</f>
        <v>2</v>
      </c>
      <c r="L270" s="2">
        <v>0</v>
      </c>
      <c r="M270" s="2">
        <v>0</v>
      </c>
      <c r="N270" s="2">
        <v>3</v>
      </c>
      <c r="O270" s="3">
        <f>N270/J270</f>
        <v>1.5</v>
      </c>
      <c r="P270" s="2">
        <v>0</v>
      </c>
      <c r="Q270" s="2">
        <v>0</v>
      </c>
      <c r="R270" s="2">
        <v>3</v>
      </c>
      <c r="S270" s="2">
        <v>0</v>
      </c>
      <c r="T270" s="2">
        <v>0</v>
      </c>
      <c r="U270" s="2">
        <v>0</v>
      </c>
      <c r="V270" s="2">
        <v>0</v>
      </c>
      <c r="W270" s="3" t="e">
        <f>V270/S270</f>
        <v>#DIV/0!</v>
      </c>
      <c r="X270" s="3" t="e">
        <f>V270/U270</f>
        <v>#DIV/0!</v>
      </c>
      <c r="Y270" s="4" t="e">
        <f>S270*6/U270</f>
        <v>#DIV/0!</v>
      </c>
      <c r="Z270" s="2">
        <v>0</v>
      </c>
      <c r="AA270" s="2">
        <v>0</v>
      </c>
      <c r="AB270" s="2">
        <v>0</v>
      </c>
      <c r="AC270" s="2">
        <v>1</v>
      </c>
    </row>
    <row r="271" spans="1:29" x14ac:dyDescent="0.35">
      <c r="A271" s="1" t="s">
        <v>341</v>
      </c>
      <c r="B271" s="1" t="s">
        <v>342</v>
      </c>
      <c r="C271">
        <f>D271+E271+F271+G271+H271+I271</f>
        <v>34</v>
      </c>
      <c r="D271" s="2">
        <v>31</v>
      </c>
      <c r="E271" s="2">
        <v>0</v>
      </c>
      <c r="F271" s="2">
        <v>0</v>
      </c>
      <c r="G271" s="2">
        <v>0</v>
      </c>
      <c r="H271" s="2">
        <v>3</v>
      </c>
      <c r="I271" s="2">
        <v>0</v>
      </c>
      <c r="J271" s="2">
        <v>14</v>
      </c>
      <c r="K271">
        <f>J271+L271</f>
        <v>22</v>
      </c>
      <c r="L271" s="2">
        <v>8</v>
      </c>
      <c r="M271" s="2">
        <v>15</v>
      </c>
      <c r="N271" s="2">
        <v>172</v>
      </c>
      <c r="O271" s="3">
        <f>N271/J271</f>
        <v>12.285714285714286</v>
      </c>
      <c r="P271" s="2">
        <v>0</v>
      </c>
      <c r="Q271" s="2">
        <v>0</v>
      </c>
      <c r="R271" s="2">
        <v>37</v>
      </c>
      <c r="S271" s="2">
        <v>495</v>
      </c>
      <c r="T271" s="2">
        <v>114</v>
      </c>
      <c r="U271" s="2">
        <v>80</v>
      </c>
      <c r="V271" s="2">
        <v>1329</v>
      </c>
      <c r="W271" s="3">
        <f>V271/S271</f>
        <v>2.684848484848485</v>
      </c>
      <c r="X271" s="3">
        <f>V271/U271</f>
        <v>16.612500000000001</v>
      </c>
      <c r="Y271" s="4">
        <f>S271*6/U271</f>
        <v>37.125</v>
      </c>
      <c r="Z271" s="2">
        <v>6</v>
      </c>
      <c r="AA271" s="2">
        <v>2</v>
      </c>
      <c r="AB271" s="2">
        <v>0</v>
      </c>
      <c r="AC271" s="2">
        <v>12</v>
      </c>
    </row>
    <row r="272" spans="1:29" x14ac:dyDescent="0.35">
      <c r="A272" s="1" t="s">
        <v>343</v>
      </c>
      <c r="B272" s="1" t="s">
        <v>344</v>
      </c>
      <c r="C272">
        <f>D272+E272+F272+G272+H272+I272</f>
        <v>41</v>
      </c>
      <c r="D272" s="2">
        <v>0</v>
      </c>
      <c r="E272" s="2">
        <v>0</v>
      </c>
      <c r="F272" s="2">
        <v>0</v>
      </c>
      <c r="G272" s="2">
        <v>3</v>
      </c>
      <c r="H272" s="2">
        <v>32</v>
      </c>
      <c r="I272" s="2">
        <v>6</v>
      </c>
      <c r="J272" s="2">
        <v>26</v>
      </c>
      <c r="K272">
        <f>J272+L272</f>
        <v>31</v>
      </c>
      <c r="L272" s="2">
        <v>5</v>
      </c>
      <c r="M272" s="2">
        <v>17</v>
      </c>
      <c r="N272" s="2">
        <v>218</v>
      </c>
      <c r="O272" s="3">
        <f>N272/J272</f>
        <v>8.384615384615385</v>
      </c>
      <c r="P272" s="2">
        <v>0</v>
      </c>
      <c r="Q272" s="2">
        <v>0</v>
      </c>
      <c r="R272" s="2">
        <v>37</v>
      </c>
      <c r="S272" s="2">
        <v>268</v>
      </c>
      <c r="T272" s="2">
        <v>56</v>
      </c>
      <c r="U272" s="2">
        <v>36</v>
      </c>
      <c r="V272" s="2">
        <v>968</v>
      </c>
      <c r="W272" s="3">
        <f>V272/S272</f>
        <v>3.6119402985074629</v>
      </c>
      <c r="X272" s="3">
        <f>V272/U272</f>
        <v>26.888888888888889</v>
      </c>
      <c r="Y272" s="4">
        <f>S272*6/U272</f>
        <v>44.666666666666664</v>
      </c>
      <c r="Z272" s="2">
        <v>5</v>
      </c>
      <c r="AA272" s="2">
        <v>1</v>
      </c>
      <c r="AB272" s="2">
        <v>0</v>
      </c>
      <c r="AC272" s="2">
        <v>9</v>
      </c>
    </row>
    <row r="273" spans="1:29" x14ac:dyDescent="0.35">
      <c r="A273" s="1" t="s">
        <v>345</v>
      </c>
      <c r="B273" s="1" t="s">
        <v>303</v>
      </c>
      <c r="C273">
        <f>D273+E273+F273+G273+H273+I273</f>
        <v>10</v>
      </c>
      <c r="D273" s="2">
        <v>0</v>
      </c>
      <c r="E273" s="2">
        <v>0</v>
      </c>
      <c r="F273" s="2">
        <v>10</v>
      </c>
      <c r="G273" s="2">
        <v>0</v>
      </c>
      <c r="H273" s="2">
        <v>0</v>
      </c>
      <c r="I273" s="2">
        <v>0</v>
      </c>
      <c r="J273" s="2">
        <v>9</v>
      </c>
      <c r="K273">
        <f>J273+L273</f>
        <v>10</v>
      </c>
      <c r="L273" s="2">
        <v>1</v>
      </c>
      <c r="M273" s="2">
        <v>2</v>
      </c>
      <c r="N273" s="2">
        <v>141</v>
      </c>
      <c r="O273" s="3">
        <f>N273/J273</f>
        <v>15.666666666666666</v>
      </c>
      <c r="P273" s="2">
        <v>0</v>
      </c>
      <c r="Q273" s="2">
        <v>0</v>
      </c>
      <c r="R273" s="2">
        <v>40</v>
      </c>
      <c r="S273" s="2">
        <v>13</v>
      </c>
      <c r="T273" s="2">
        <v>1</v>
      </c>
      <c r="U273" s="2">
        <v>3</v>
      </c>
      <c r="V273" s="2">
        <v>101</v>
      </c>
      <c r="W273" s="3">
        <f>V273/S273</f>
        <v>7.7692307692307692</v>
      </c>
      <c r="X273" s="3">
        <f>V273/U273</f>
        <v>33.666666666666664</v>
      </c>
      <c r="Y273" s="4">
        <f>S273*6/U273</f>
        <v>26</v>
      </c>
      <c r="Z273" s="2">
        <v>1</v>
      </c>
      <c r="AA273" s="2">
        <v>0</v>
      </c>
      <c r="AB273" s="2">
        <v>0</v>
      </c>
      <c r="AC273" s="2">
        <v>0</v>
      </c>
    </row>
    <row r="274" spans="1:29" x14ac:dyDescent="0.35">
      <c r="A274" s="1" t="s">
        <v>346</v>
      </c>
      <c r="B274" s="1" t="s">
        <v>85</v>
      </c>
      <c r="C274">
        <f>D274+E274+F274+G274+H274+I274</f>
        <v>18</v>
      </c>
      <c r="D274" s="2">
        <v>0</v>
      </c>
      <c r="E274" s="2">
        <v>0</v>
      </c>
      <c r="F274" s="2">
        <v>0</v>
      </c>
      <c r="G274" s="2">
        <v>0</v>
      </c>
      <c r="H274" s="2">
        <v>10</v>
      </c>
      <c r="I274" s="2">
        <v>8</v>
      </c>
      <c r="J274" s="2">
        <v>4</v>
      </c>
      <c r="K274">
        <f>J274+L274</f>
        <v>7</v>
      </c>
      <c r="L274" s="2">
        <v>3</v>
      </c>
      <c r="M274" s="2">
        <v>11</v>
      </c>
      <c r="N274" s="2">
        <v>14</v>
      </c>
      <c r="O274" s="3">
        <f>N274/J274</f>
        <v>3.5</v>
      </c>
      <c r="P274" s="2">
        <v>0</v>
      </c>
      <c r="Q274" s="2">
        <v>0</v>
      </c>
      <c r="R274" s="11" t="s">
        <v>1217</v>
      </c>
      <c r="S274" s="11">
        <f>27+29</f>
        <v>56</v>
      </c>
      <c r="T274" s="11">
        <v>1</v>
      </c>
      <c r="U274" s="11">
        <v>14</v>
      </c>
      <c r="V274" s="11">
        <f>104+165</f>
        <v>269</v>
      </c>
      <c r="W274" s="3">
        <f>V274/S274</f>
        <v>4.8035714285714288</v>
      </c>
      <c r="X274" s="3">
        <f>V274/U274</f>
        <v>19.214285714285715</v>
      </c>
      <c r="Y274" s="3">
        <f>162/U274</f>
        <v>11.571428571428571</v>
      </c>
      <c r="Z274" s="11" t="s">
        <v>1158</v>
      </c>
      <c r="AA274" s="11">
        <v>0</v>
      </c>
      <c r="AB274" s="11">
        <v>0</v>
      </c>
      <c r="AC274" s="13">
        <v>8</v>
      </c>
    </row>
    <row r="275" spans="1:29" x14ac:dyDescent="0.35">
      <c r="A275" s="1" t="s">
        <v>346</v>
      </c>
      <c r="B275" s="1" t="s">
        <v>204</v>
      </c>
      <c r="C275">
        <f>D275+E275+F275+G275+H275+I275</f>
        <v>25</v>
      </c>
      <c r="D275" s="2">
        <v>0</v>
      </c>
      <c r="E275" s="2">
        <v>0</v>
      </c>
      <c r="F275" s="2">
        <v>6</v>
      </c>
      <c r="G275" s="2">
        <v>19</v>
      </c>
      <c r="H275" s="2">
        <v>0</v>
      </c>
      <c r="I275" s="2">
        <v>0</v>
      </c>
      <c r="J275" s="2">
        <v>22</v>
      </c>
      <c r="K275">
        <f>J275+L275</f>
        <v>27</v>
      </c>
      <c r="L275" s="2">
        <v>5</v>
      </c>
      <c r="M275" s="2">
        <v>6</v>
      </c>
      <c r="N275" s="2">
        <v>179</v>
      </c>
      <c r="O275" s="3">
        <f>N275/J275</f>
        <v>8.1363636363636367</v>
      </c>
      <c r="P275" s="2">
        <v>0</v>
      </c>
      <c r="Q275" s="2">
        <v>0</v>
      </c>
      <c r="R275" s="2">
        <v>35</v>
      </c>
      <c r="S275" s="2">
        <v>216</v>
      </c>
      <c r="T275" s="2">
        <v>22</v>
      </c>
      <c r="U275" s="2">
        <v>20</v>
      </c>
      <c r="V275" s="2">
        <v>748</v>
      </c>
      <c r="W275" s="3">
        <f>V275/S275</f>
        <v>3.4629629629629628</v>
      </c>
      <c r="X275" s="3">
        <f>V275/U275</f>
        <v>37.4</v>
      </c>
      <c r="Y275" s="4">
        <f>S275*6/U275</f>
        <v>64.8</v>
      </c>
      <c r="Z275" s="40">
        <v>3</v>
      </c>
      <c r="AA275" s="2">
        <v>0</v>
      </c>
      <c r="AB275" s="2">
        <v>0</v>
      </c>
      <c r="AC275" s="2">
        <v>6</v>
      </c>
    </row>
    <row r="276" spans="1:29" x14ac:dyDescent="0.35">
      <c r="A276" s="1" t="s">
        <v>346</v>
      </c>
      <c r="B276" s="1" t="s">
        <v>347</v>
      </c>
      <c r="C276">
        <f>D276+E276+F276+G276+H276+I276</f>
        <v>3</v>
      </c>
      <c r="D276" s="2">
        <v>0</v>
      </c>
      <c r="E276" s="2">
        <v>0</v>
      </c>
      <c r="F276" s="2">
        <v>0</v>
      </c>
      <c r="G276" s="2">
        <v>3</v>
      </c>
      <c r="H276" s="2">
        <v>0</v>
      </c>
      <c r="I276" s="2">
        <v>0</v>
      </c>
      <c r="J276" s="2">
        <v>0</v>
      </c>
      <c r="K276">
        <f>J276+L276</f>
        <v>2</v>
      </c>
      <c r="L276" s="2">
        <v>2</v>
      </c>
      <c r="M276" s="2">
        <v>2</v>
      </c>
      <c r="N276" s="2">
        <v>6</v>
      </c>
      <c r="O276" s="3" t="e">
        <f>N276/J276</f>
        <v>#DIV/0!</v>
      </c>
      <c r="P276" s="2">
        <v>0</v>
      </c>
      <c r="Q276" s="2">
        <v>0</v>
      </c>
      <c r="R276" s="2">
        <v>5</v>
      </c>
      <c r="S276" s="2">
        <v>8</v>
      </c>
      <c r="T276" s="2">
        <v>3</v>
      </c>
      <c r="U276" s="2">
        <v>4</v>
      </c>
      <c r="V276" s="2">
        <v>20</v>
      </c>
      <c r="W276" s="3">
        <f>V276/S276</f>
        <v>2.5</v>
      </c>
      <c r="X276" s="3">
        <f>V276/U276</f>
        <v>5</v>
      </c>
      <c r="Y276" s="4">
        <f>S276*6/U276</f>
        <v>12</v>
      </c>
      <c r="Z276" s="2">
        <v>2</v>
      </c>
      <c r="AA276" s="2">
        <v>0</v>
      </c>
      <c r="AB276" s="2">
        <v>0</v>
      </c>
      <c r="AC276" s="2">
        <v>0</v>
      </c>
    </row>
    <row r="277" spans="1:29" x14ac:dyDescent="0.35">
      <c r="A277" s="1" t="s">
        <v>346</v>
      </c>
      <c r="B277" s="7" t="s">
        <v>242</v>
      </c>
      <c r="C277">
        <f>D277+E277+F277+G277+H277+I277</f>
        <v>1</v>
      </c>
      <c r="D277" s="5">
        <v>0</v>
      </c>
      <c r="E277" s="5">
        <v>0</v>
      </c>
      <c r="F277" s="5">
        <v>1</v>
      </c>
      <c r="G277" s="5">
        <v>0</v>
      </c>
      <c r="H277" s="5">
        <v>0</v>
      </c>
      <c r="I277" s="5">
        <v>0</v>
      </c>
      <c r="J277" s="5">
        <v>1</v>
      </c>
      <c r="K277">
        <f>J277+L277</f>
        <v>1</v>
      </c>
      <c r="L277" s="5">
        <v>0</v>
      </c>
      <c r="M277" s="5">
        <v>0</v>
      </c>
      <c r="N277" s="5">
        <v>0</v>
      </c>
      <c r="O277" s="3">
        <f>N277/J277</f>
        <v>0</v>
      </c>
      <c r="P277" s="5">
        <v>0</v>
      </c>
      <c r="Q277" s="5">
        <v>0</v>
      </c>
      <c r="R277" s="40">
        <v>0</v>
      </c>
      <c r="S277" s="6">
        <v>3</v>
      </c>
      <c r="T277" s="6">
        <v>0</v>
      </c>
      <c r="U277" s="6">
        <v>0</v>
      </c>
      <c r="V277" s="6">
        <v>17</v>
      </c>
      <c r="W277" s="3">
        <f>V277/S277</f>
        <v>5.666666666666667</v>
      </c>
      <c r="X277" s="3" t="e">
        <f>V277/U277</f>
        <v>#DIV/0!</v>
      </c>
      <c r="Y277" s="4" t="e">
        <f>S277*6/U277</f>
        <v>#DIV/0!</v>
      </c>
      <c r="Z277" s="6">
        <v>0</v>
      </c>
      <c r="AA277" s="6">
        <v>0</v>
      </c>
      <c r="AB277" s="6">
        <v>0</v>
      </c>
      <c r="AC277" s="6">
        <v>0</v>
      </c>
    </row>
    <row r="278" spans="1:29" x14ac:dyDescent="0.35">
      <c r="A278" s="35" t="s">
        <v>1236</v>
      </c>
      <c r="B278" s="35" t="s">
        <v>1237</v>
      </c>
      <c r="C278">
        <f>D278+E278+F278+G278+H278+I278</f>
        <v>6</v>
      </c>
      <c r="D278" s="5">
        <v>0</v>
      </c>
      <c r="E278" s="5">
        <v>0</v>
      </c>
      <c r="F278" s="5">
        <v>6</v>
      </c>
      <c r="G278" s="5">
        <v>0</v>
      </c>
      <c r="H278" s="5">
        <v>0</v>
      </c>
      <c r="I278" s="5">
        <v>0</v>
      </c>
      <c r="J278" s="5">
        <v>6</v>
      </c>
      <c r="K278">
        <f>J278+L278</f>
        <v>6</v>
      </c>
      <c r="L278" s="5">
        <v>0</v>
      </c>
      <c r="M278" s="5">
        <v>0</v>
      </c>
      <c r="N278" s="5">
        <v>130</v>
      </c>
      <c r="O278" s="3">
        <f>N278/J278</f>
        <v>21.666666666666668</v>
      </c>
      <c r="P278" s="5">
        <v>1</v>
      </c>
      <c r="Q278" s="5">
        <v>0</v>
      </c>
      <c r="R278" s="5">
        <v>72</v>
      </c>
      <c r="S278" s="35">
        <v>40</v>
      </c>
      <c r="T278" s="35">
        <v>1</v>
      </c>
      <c r="U278" s="35">
        <v>7</v>
      </c>
      <c r="V278" s="35">
        <v>142</v>
      </c>
      <c r="W278" s="3">
        <f>V278/S278</f>
        <v>3.55</v>
      </c>
      <c r="X278" s="3">
        <f>V278/U278</f>
        <v>20.285714285714285</v>
      </c>
      <c r="Y278" s="3">
        <f>240/U278</f>
        <v>34.285714285714285</v>
      </c>
      <c r="Z278" s="35" t="s">
        <v>1238</v>
      </c>
      <c r="AA278" s="35">
        <v>0</v>
      </c>
      <c r="AB278" s="35">
        <v>0</v>
      </c>
      <c r="AC278" s="35">
        <v>3</v>
      </c>
    </row>
    <row r="279" spans="1:29" x14ac:dyDescent="0.35">
      <c r="A279" s="1" t="s">
        <v>348</v>
      </c>
      <c r="B279" s="1" t="s">
        <v>349</v>
      </c>
      <c r="C279">
        <f>D279+E279+F279+G279+H279+I279</f>
        <v>22</v>
      </c>
      <c r="D279" s="2">
        <v>0</v>
      </c>
      <c r="E279" s="2">
        <v>2</v>
      </c>
      <c r="F279" s="2">
        <v>5</v>
      </c>
      <c r="G279" s="2">
        <v>15</v>
      </c>
      <c r="H279" s="2">
        <v>0</v>
      </c>
      <c r="I279" s="2">
        <v>0</v>
      </c>
      <c r="J279" s="2">
        <v>15</v>
      </c>
      <c r="K279">
        <f>J279+L279</f>
        <v>18</v>
      </c>
      <c r="L279" s="2">
        <v>3</v>
      </c>
      <c r="M279" s="2">
        <v>4</v>
      </c>
      <c r="N279" s="2">
        <v>357</v>
      </c>
      <c r="O279" s="3">
        <f>N279/J279</f>
        <v>23.8</v>
      </c>
      <c r="P279" s="2">
        <v>3</v>
      </c>
      <c r="Q279" s="2">
        <v>0</v>
      </c>
      <c r="R279" s="2">
        <v>71</v>
      </c>
      <c r="S279" s="2">
        <v>127</v>
      </c>
      <c r="T279" s="2">
        <v>14</v>
      </c>
      <c r="U279" s="2">
        <v>31</v>
      </c>
      <c r="V279" s="2">
        <v>487</v>
      </c>
      <c r="W279" s="3">
        <f>V279/S279</f>
        <v>3.8346456692913384</v>
      </c>
      <c r="X279" s="3">
        <f>V279/U279</f>
        <v>15.709677419354838</v>
      </c>
      <c r="Y279" s="4">
        <f>S279*6/U279</f>
        <v>24.580645161290324</v>
      </c>
      <c r="Z279" s="2">
        <v>4</v>
      </c>
      <c r="AA279" s="2">
        <v>0</v>
      </c>
      <c r="AB279" s="2">
        <v>0</v>
      </c>
      <c r="AC279" s="2">
        <v>3</v>
      </c>
    </row>
    <row r="280" spans="1:29" x14ac:dyDescent="0.35">
      <c r="A280" s="1" t="s">
        <v>350</v>
      </c>
      <c r="B280" s="1" t="s">
        <v>351</v>
      </c>
      <c r="C280">
        <f>D280+E280+F280+G280+H280+I280</f>
        <v>31</v>
      </c>
      <c r="D280" s="2">
        <v>3</v>
      </c>
      <c r="E280" s="2">
        <v>13</v>
      </c>
      <c r="F280" s="2">
        <v>12</v>
      </c>
      <c r="G280" s="2">
        <v>3</v>
      </c>
      <c r="H280" s="2">
        <v>0</v>
      </c>
      <c r="I280" s="2">
        <v>0</v>
      </c>
      <c r="J280" s="2">
        <v>37</v>
      </c>
      <c r="K280">
        <f>J280+L280</f>
        <v>42</v>
      </c>
      <c r="L280" s="2">
        <v>5</v>
      </c>
      <c r="M280" s="2">
        <v>8</v>
      </c>
      <c r="N280" s="2">
        <v>397</v>
      </c>
      <c r="O280" s="3">
        <f>N280/J280</f>
        <v>10.72972972972973</v>
      </c>
      <c r="P280" s="2">
        <v>0</v>
      </c>
      <c r="Q280" s="2">
        <v>0</v>
      </c>
      <c r="R280" s="2">
        <v>48</v>
      </c>
      <c r="S280" s="2">
        <v>1</v>
      </c>
      <c r="T280" s="2">
        <v>0</v>
      </c>
      <c r="U280" s="2">
        <v>0</v>
      </c>
      <c r="V280" s="2">
        <v>22</v>
      </c>
      <c r="W280" s="3">
        <f>V280/S280</f>
        <v>22</v>
      </c>
      <c r="X280" s="3" t="e">
        <f>V280/U280</f>
        <v>#DIV/0!</v>
      </c>
      <c r="Y280" s="4" t="e">
        <f>S280*6/U280</f>
        <v>#DIV/0!</v>
      </c>
      <c r="Z280" s="2">
        <v>0</v>
      </c>
      <c r="AA280" s="2">
        <v>0</v>
      </c>
      <c r="AB280" s="2">
        <v>0</v>
      </c>
      <c r="AC280" s="2">
        <v>25</v>
      </c>
    </row>
    <row r="281" spans="1:29" x14ac:dyDescent="0.35">
      <c r="A281" s="1" t="s">
        <v>352</v>
      </c>
      <c r="B281" s="1" t="s">
        <v>353</v>
      </c>
      <c r="C281">
        <f>D281+E281+F281+G281+H281+I281</f>
        <v>1</v>
      </c>
      <c r="D281" s="2">
        <v>0</v>
      </c>
      <c r="E281" s="2">
        <v>0</v>
      </c>
      <c r="F281" s="2">
        <v>1</v>
      </c>
      <c r="G281" s="2">
        <v>0</v>
      </c>
      <c r="H281" s="2">
        <v>0</v>
      </c>
      <c r="I281" s="2">
        <v>0</v>
      </c>
      <c r="J281" s="2">
        <v>1</v>
      </c>
      <c r="K281">
        <f>J281+L281</f>
        <v>1</v>
      </c>
      <c r="L281" s="2">
        <v>0</v>
      </c>
      <c r="M281" s="2">
        <v>0</v>
      </c>
      <c r="N281" s="2">
        <v>0</v>
      </c>
      <c r="O281" s="3">
        <f>N281/J281</f>
        <v>0</v>
      </c>
      <c r="P281" s="2">
        <v>0</v>
      </c>
      <c r="Q281" s="2">
        <v>0</v>
      </c>
      <c r="R281" s="2">
        <v>0</v>
      </c>
      <c r="S281" s="2">
        <v>6</v>
      </c>
      <c r="T281" s="2">
        <v>0</v>
      </c>
      <c r="U281" s="2">
        <v>2</v>
      </c>
      <c r="V281" s="2">
        <v>19</v>
      </c>
      <c r="W281" s="3">
        <f>V281/S281</f>
        <v>3.1666666666666665</v>
      </c>
      <c r="X281" s="3">
        <f>V281/U281</f>
        <v>9.5</v>
      </c>
      <c r="Y281" s="4">
        <f>S281*6/U281</f>
        <v>18</v>
      </c>
      <c r="Z281" s="2">
        <v>2</v>
      </c>
      <c r="AA281" s="2">
        <v>0</v>
      </c>
      <c r="AB281" s="2">
        <v>0</v>
      </c>
      <c r="AC281" s="2">
        <v>0</v>
      </c>
    </row>
    <row r="282" spans="1:29" x14ac:dyDescent="0.35">
      <c r="A282" s="1" t="s">
        <v>354</v>
      </c>
      <c r="B282" s="1" t="s">
        <v>190</v>
      </c>
      <c r="C282">
        <f>D282+E282+F282+G282+H282+I282</f>
        <v>83</v>
      </c>
      <c r="D282" s="2">
        <v>40</v>
      </c>
      <c r="E282" s="2">
        <v>35</v>
      </c>
      <c r="F282" s="2">
        <v>0</v>
      </c>
      <c r="G282" s="2">
        <v>5</v>
      </c>
      <c r="H282" s="2">
        <v>3</v>
      </c>
      <c r="I282" s="2">
        <v>0</v>
      </c>
      <c r="J282" s="2">
        <v>60</v>
      </c>
      <c r="K282">
        <f>J282+L282</f>
        <v>72</v>
      </c>
      <c r="L282" s="2">
        <v>12</v>
      </c>
      <c r="M282" s="2">
        <v>12</v>
      </c>
      <c r="N282" s="2">
        <v>1329</v>
      </c>
      <c r="O282" s="3">
        <f>N282/J282</f>
        <v>22.15</v>
      </c>
      <c r="P282" s="2">
        <v>2</v>
      </c>
      <c r="Q282" s="2">
        <v>1</v>
      </c>
      <c r="R282" s="2">
        <v>197</v>
      </c>
      <c r="S282" s="2">
        <v>694</v>
      </c>
      <c r="T282" s="2">
        <v>125</v>
      </c>
      <c r="U282" s="2">
        <v>90</v>
      </c>
      <c r="V282" s="2">
        <v>2111</v>
      </c>
      <c r="W282" s="3">
        <f>V282/S282</f>
        <v>3.0417867435158503</v>
      </c>
      <c r="X282" s="3">
        <f>V282/U282</f>
        <v>23.455555555555556</v>
      </c>
      <c r="Y282" s="4">
        <f>S282*6/U282</f>
        <v>46.266666666666666</v>
      </c>
      <c r="Z282" s="2">
        <v>6</v>
      </c>
      <c r="AA282" s="2">
        <v>2</v>
      </c>
      <c r="AB282" s="2">
        <v>0</v>
      </c>
      <c r="AC282" s="2">
        <v>18</v>
      </c>
    </row>
    <row r="283" spans="1:29" x14ac:dyDescent="0.35">
      <c r="A283" s="1" t="s">
        <v>355</v>
      </c>
      <c r="B283" s="1" t="s">
        <v>97</v>
      </c>
      <c r="C283">
        <f>D283+E283+F283+G283+H283+I283</f>
        <v>12</v>
      </c>
      <c r="D283" s="2">
        <v>0</v>
      </c>
      <c r="E283" s="2">
        <v>4</v>
      </c>
      <c r="F283" s="2">
        <v>7</v>
      </c>
      <c r="G283" s="2">
        <v>1</v>
      </c>
      <c r="H283" s="2">
        <v>0</v>
      </c>
      <c r="I283" s="2">
        <v>0</v>
      </c>
      <c r="J283" s="2">
        <v>11</v>
      </c>
      <c r="K283">
        <f>J283+L283</f>
        <v>12</v>
      </c>
      <c r="L283" s="2">
        <v>1</v>
      </c>
      <c r="M283" s="2">
        <v>0</v>
      </c>
      <c r="N283" s="2">
        <v>494</v>
      </c>
      <c r="O283" s="3">
        <f>N283/J283</f>
        <v>44.909090909090907</v>
      </c>
      <c r="P283" s="2">
        <v>1</v>
      </c>
      <c r="Q283" s="2">
        <v>1</v>
      </c>
      <c r="R283" s="2">
        <v>162</v>
      </c>
      <c r="S283" s="2">
        <v>27</v>
      </c>
      <c r="T283" s="2">
        <v>6</v>
      </c>
      <c r="U283" s="2">
        <v>3</v>
      </c>
      <c r="V283" s="2">
        <v>82</v>
      </c>
      <c r="W283" s="3">
        <f>V283/S283</f>
        <v>3.0370370370370372</v>
      </c>
      <c r="X283" s="3">
        <f>V283/U283</f>
        <v>27.333333333333332</v>
      </c>
      <c r="Y283" s="4">
        <f>S283*6/U283</f>
        <v>54</v>
      </c>
      <c r="Z283" s="2">
        <v>1</v>
      </c>
      <c r="AA283" s="2">
        <v>0</v>
      </c>
      <c r="AB283" s="2">
        <v>0</v>
      </c>
      <c r="AC283" s="2">
        <v>3</v>
      </c>
    </row>
    <row r="284" spans="1:29" x14ac:dyDescent="0.35">
      <c r="A284" s="1" t="s">
        <v>356</v>
      </c>
      <c r="B284" s="1" t="s">
        <v>204</v>
      </c>
      <c r="C284">
        <f>D284+E284+F284+G284+H284+I284</f>
        <v>8</v>
      </c>
      <c r="D284" s="2">
        <v>0</v>
      </c>
      <c r="E284" s="2">
        <v>0</v>
      </c>
      <c r="F284" s="2">
        <v>0</v>
      </c>
      <c r="G284" s="2">
        <v>2</v>
      </c>
      <c r="H284" s="2">
        <v>0</v>
      </c>
      <c r="I284" s="2">
        <v>6</v>
      </c>
      <c r="J284" s="2">
        <v>4</v>
      </c>
      <c r="K284">
        <f>J284+L284</f>
        <v>7</v>
      </c>
      <c r="L284" s="2">
        <v>3</v>
      </c>
      <c r="M284" s="2">
        <v>1</v>
      </c>
      <c r="N284" s="2">
        <v>84</v>
      </c>
      <c r="O284" s="3">
        <f>N284/J284</f>
        <v>21</v>
      </c>
      <c r="P284" s="2">
        <v>0</v>
      </c>
      <c r="Q284" s="2">
        <v>0</v>
      </c>
      <c r="R284" s="2">
        <v>22</v>
      </c>
      <c r="S284" s="2">
        <v>51</v>
      </c>
      <c r="T284" s="2">
        <v>2</v>
      </c>
      <c r="U284" s="2">
        <v>4</v>
      </c>
      <c r="V284" s="2">
        <v>260</v>
      </c>
      <c r="W284" s="3">
        <f>V284/S284</f>
        <v>5.0980392156862742</v>
      </c>
      <c r="X284" s="3">
        <f>V284/U284</f>
        <v>65</v>
      </c>
      <c r="Y284" s="4">
        <f>S284*6/U284</f>
        <v>76.5</v>
      </c>
      <c r="Z284" s="2">
        <v>2</v>
      </c>
      <c r="AA284" s="2">
        <v>0</v>
      </c>
      <c r="AB284" s="2">
        <v>0</v>
      </c>
      <c r="AC284" s="2">
        <v>3</v>
      </c>
    </row>
    <row r="285" spans="1:29" x14ac:dyDescent="0.35">
      <c r="A285" s="1" t="s">
        <v>357</v>
      </c>
      <c r="B285" s="1" t="s">
        <v>229</v>
      </c>
      <c r="C285">
        <f>D285+E285+F285+G285+H285+I285</f>
        <v>20</v>
      </c>
      <c r="D285" s="2">
        <v>0</v>
      </c>
      <c r="E285" s="2">
        <v>0</v>
      </c>
      <c r="F285" s="2">
        <v>1</v>
      </c>
      <c r="G285" s="2">
        <v>1</v>
      </c>
      <c r="H285" s="2">
        <v>5</v>
      </c>
      <c r="I285" s="2">
        <v>13</v>
      </c>
      <c r="J285" s="2">
        <v>8</v>
      </c>
      <c r="K285">
        <f>J285+L285</f>
        <v>11</v>
      </c>
      <c r="L285" s="2">
        <v>3</v>
      </c>
      <c r="M285" s="2">
        <v>9</v>
      </c>
      <c r="N285" s="2">
        <v>72</v>
      </c>
      <c r="O285" s="3">
        <f>N285/J285</f>
        <v>9</v>
      </c>
      <c r="P285" s="2">
        <v>0</v>
      </c>
      <c r="Q285" s="2">
        <v>0</v>
      </c>
      <c r="R285" s="2">
        <v>16</v>
      </c>
      <c r="S285" s="2">
        <v>7</v>
      </c>
      <c r="T285" s="2">
        <v>0</v>
      </c>
      <c r="U285" s="2">
        <v>1</v>
      </c>
      <c r="V285" s="2">
        <v>54</v>
      </c>
      <c r="W285" s="3">
        <f>V285/S285</f>
        <v>7.7142857142857144</v>
      </c>
      <c r="X285" s="3">
        <f>V285/U285</f>
        <v>54</v>
      </c>
      <c r="Y285" s="4">
        <f>S285*6/U285</f>
        <v>42</v>
      </c>
      <c r="Z285" s="2">
        <v>1</v>
      </c>
      <c r="AA285" s="2">
        <v>0</v>
      </c>
      <c r="AB285" s="2">
        <v>0</v>
      </c>
      <c r="AC285" s="2">
        <v>1</v>
      </c>
    </row>
    <row r="286" spans="1:29" x14ac:dyDescent="0.35">
      <c r="A286" s="26" t="s">
        <v>1309</v>
      </c>
      <c r="B286" s="26" t="s">
        <v>42</v>
      </c>
      <c r="C286" s="18">
        <f>D286+E286+F286+G286+H286+I286</f>
        <v>41</v>
      </c>
      <c r="D286" s="37">
        <v>2</v>
      </c>
      <c r="E286" s="37">
        <v>27</v>
      </c>
      <c r="F286" s="37">
        <v>11</v>
      </c>
      <c r="G286" s="37">
        <v>1</v>
      </c>
      <c r="H286" s="37">
        <v>0</v>
      </c>
      <c r="I286" s="37">
        <v>0</v>
      </c>
      <c r="J286" s="37">
        <v>21</v>
      </c>
      <c r="K286" s="18">
        <f>J286+L286</f>
        <v>28</v>
      </c>
      <c r="L286" s="37">
        <v>7</v>
      </c>
      <c r="M286" s="37">
        <v>14</v>
      </c>
      <c r="N286" s="37">
        <f>189+143</f>
        <v>332</v>
      </c>
      <c r="O286" s="19">
        <f>N286/J286</f>
        <v>15.80952380952381</v>
      </c>
      <c r="P286" s="37">
        <v>0</v>
      </c>
      <c r="Q286" s="37">
        <v>0</v>
      </c>
      <c r="R286" s="37" t="s">
        <v>1409</v>
      </c>
      <c r="S286" s="37">
        <v>0</v>
      </c>
      <c r="T286" s="37">
        <v>0</v>
      </c>
      <c r="U286" s="37">
        <v>0</v>
      </c>
      <c r="V286" s="37">
        <v>0</v>
      </c>
      <c r="W286" s="18">
        <v>0</v>
      </c>
      <c r="X286" s="18">
        <v>0</v>
      </c>
      <c r="Y286" s="18" t="e">
        <f>S286*6/U286</f>
        <v>#DIV/0!</v>
      </c>
      <c r="Z286" s="37">
        <v>0</v>
      </c>
      <c r="AA286" s="37">
        <v>0</v>
      </c>
      <c r="AB286" s="37">
        <v>0</v>
      </c>
      <c r="AC286" s="37">
        <v>43</v>
      </c>
    </row>
    <row r="287" spans="1:29" x14ac:dyDescent="0.35">
      <c r="A287" s="1" t="s">
        <v>358</v>
      </c>
      <c r="B287" s="1" t="s">
        <v>96</v>
      </c>
      <c r="C287">
        <f>D287+E287+F287+G287+H287+I287</f>
        <v>2</v>
      </c>
      <c r="D287" s="2">
        <v>0</v>
      </c>
      <c r="E287" s="2">
        <v>0</v>
      </c>
      <c r="F287" s="2">
        <v>0</v>
      </c>
      <c r="G287" s="2">
        <v>2</v>
      </c>
      <c r="H287" s="2">
        <v>0</v>
      </c>
      <c r="I287" s="2">
        <v>0</v>
      </c>
      <c r="J287" s="2">
        <v>2</v>
      </c>
      <c r="K287">
        <f>J287+L287</f>
        <v>3</v>
      </c>
      <c r="L287" s="2">
        <v>1</v>
      </c>
      <c r="M287" s="2">
        <v>0</v>
      </c>
      <c r="N287" s="2">
        <v>44</v>
      </c>
      <c r="O287" s="3">
        <f>N287/J287</f>
        <v>22</v>
      </c>
      <c r="P287" s="2">
        <v>0</v>
      </c>
      <c r="Q287" s="2">
        <v>0</v>
      </c>
      <c r="R287" s="2">
        <v>24</v>
      </c>
      <c r="S287" s="2">
        <v>0</v>
      </c>
      <c r="T287" s="2">
        <v>0</v>
      </c>
      <c r="U287" s="2">
        <v>0</v>
      </c>
      <c r="V287" s="2">
        <v>0</v>
      </c>
      <c r="W287" s="3" t="e">
        <f>V287/S287</f>
        <v>#DIV/0!</v>
      </c>
      <c r="X287" s="3" t="e">
        <f>V287/U287</f>
        <v>#DIV/0!</v>
      </c>
      <c r="Y287" s="4" t="e">
        <f>S287*6/U287</f>
        <v>#DIV/0!</v>
      </c>
      <c r="Z287" s="2">
        <v>0</v>
      </c>
      <c r="AA287" s="2">
        <v>0</v>
      </c>
      <c r="AB287" s="2">
        <v>0</v>
      </c>
      <c r="AC287" s="2">
        <v>0</v>
      </c>
    </row>
    <row r="288" spans="1:29" x14ac:dyDescent="0.35">
      <c r="A288" s="1" t="s">
        <v>359</v>
      </c>
      <c r="B288" s="1" t="s">
        <v>360</v>
      </c>
      <c r="C288">
        <f>D288+E288+F288+G288+H288+I288</f>
        <v>1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1</v>
      </c>
      <c r="J288" s="2">
        <v>0</v>
      </c>
      <c r="K288">
        <f>J288+L288</f>
        <v>0</v>
      </c>
      <c r="L288" s="2">
        <v>0</v>
      </c>
      <c r="M288" s="2">
        <v>1</v>
      </c>
      <c r="N288" s="2">
        <v>0</v>
      </c>
      <c r="O288" s="3" t="e">
        <f>N288/J288</f>
        <v>#DIV/0!</v>
      </c>
      <c r="P288" s="2">
        <v>0</v>
      </c>
      <c r="Q288" s="2">
        <v>0</v>
      </c>
      <c r="R288" s="2">
        <v>0</v>
      </c>
      <c r="S288" s="2">
        <v>11</v>
      </c>
      <c r="T288" s="2">
        <v>1</v>
      </c>
      <c r="U288" s="2">
        <v>1</v>
      </c>
      <c r="V288" s="2">
        <v>87</v>
      </c>
      <c r="W288" s="3">
        <f>V288/S288</f>
        <v>7.9090909090909092</v>
      </c>
      <c r="X288" s="3">
        <f>V288/U288</f>
        <v>87</v>
      </c>
      <c r="Y288" s="4">
        <f>S288*6/U288</f>
        <v>66</v>
      </c>
      <c r="Z288" s="2">
        <v>1</v>
      </c>
      <c r="AA288" s="2">
        <v>0</v>
      </c>
      <c r="AB288" s="2">
        <v>0</v>
      </c>
      <c r="AC288" s="2">
        <v>0</v>
      </c>
    </row>
    <row r="289" spans="1:29" x14ac:dyDescent="0.35">
      <c r="A289" s="1" t="s">
        <v>361</v>
      </c>
      <c r="B289" s="1" t="s">
        <v>362</v>
      </c>
      <c r="C289">
        <f>D289+E289+F289+G289+H289+I289</f>
        <v>19</v>
      </c>
      <c r="D289" s="2">
        <v>19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11</v>
      </c>
      <c r="K289">
        <f>J289+L289</f>
        <v>14</v>
      </c>
      <c r="L289" s="2">
        <v>3</v>
      </c>
      <c r="M289" s="2">
        <v>1</v>
      </c>
      <c r="N289" s="2">
        <v>224</v>
      </c>
      <c r="O289" s="3">
        <f>N289/J289</f>
        <v>20.363636363636363</v>
      </c>
      <c r="P289" s="2">
        <v>0</v>
      </c>
      <c r="Q289" s="2">
        <v>0</v>
      </c>
      <c r="R289" s="2">
        <v>41</v>
      </c>
      <c r="S289" s="2">
        <v>221</v>
      </c>
      <c r="T289" s="2">
        <v>71</v>
      </c>
      <c r="U289" s="2">
        <v>49</v>
      </c>
      <c r="V289" s="2">
        <v>554</v>
      </c>
      <c r="W289" s="3">
        <f>V289/S289</f>
        <v>2.5067873303167421</v>
      </c>
      <c r="X289" s="3">
        <f>V289/U289</f>
        <v>11.306122448979592</v>
      </c>
      <c r="Y289" s="4">
        <f>S289*6/U289</f>
        <v>27.061224489795919</v>
      </c>
      <c r="Z289" s="2">
        <v>6</v>
      </c>
      <c r="AA289" s="2">
        <v>3</v>
      </c>
      <c r="AB289" s="2">
        <v>0</v>
      </c>
      <c r="AC289" s="2">
        <v>9</v>
      </c>
    </row>
    <row r="290" spans="1:29" x14ac:dyDescent="0.35">
      <c r="A290" s="1" t="s">
        <v>363</v>
      </c>
      <c r="B290" s="1" t="s">
        <v>364</v>
      </c>
      <c r="C290">
        <f>D290+E290+F290+G290+H290+I290</f>
        <v>25</v>
      </c>
      <c r="D290" s="2">
        <v>0</v>
      </c>
      <c r="E290" s="2">
        <v>1</v>
      </c>
      <c r="F290" s="2">
        <v>0</v>
      </c>
      <c r="G290" s="2">
        <v>24</v>
      </c>
      <c r="H290" s="2">
        <v>0</v>
      </c>
      <c r="I290" s="2">
        <v>0</v>
      </c>
      <c r="J290" s="2">
        <v>23</v>
      </c>
      <c r="K290">
        <f>J290+L290</f>
        <v>24</v>
      </c>
      <c r="L290" s="2">
        <v>1</v>
      </c>
      <c r="M290" s="2">
        <v>1</v>
      </c>
      <c r="N290" s="2">
        <v>448</v>
      </c>
      <c r="O290" s="3">
        <f>N290/J290</f>
        <v>19.478260869565219</v>
      </c>
      <c r="P290" s="2">
        <v>3</v>
      </c>
      <c r="Q290" s="2">
        <v>0</v>
      </c>
      <c r="R290" s="2">
        <v>76</v>
      </c>
      <c r="S290" s="2">
        <v>77</v>
      </c>
      <c r="T290" s="2">
        <v>14</v>
      </c>
      <c r="U290" s="2">
        <v>9</v>
      </c>
      <c r="V290" s="2">
        <v>279</v>
      </c>
      <c r="W290" s="3">
        <f>V290/S290</f>
        <v>3.6233766233766236</v>
      </c>
      <c r="X290" s="3">
        <f>V290/U290</f>
        <v>31</v>
      </c>
      <c r="Y290" s="4">
        <f>S290*6/U290</f>
        <v>51.333333333333336</v>
      </c>
      <c r="Z290" s="2">
        <v>2</v>
      </c>
      <c r="AA290" s="2">
        <v>0</v>
      </c>
      <c r="AB290" s="2">
        <v>0</v>
      </c>
      <c r="AC290" s="2">
        <v>3</v>
      </c>
    </row>
    <row r="291" spans="1:29" x14ac:dyDescent="0.35">
      <c r="A291" s="1" t="s">
        <v>363</v>
      </c>
      <c r="B291" s="1" t="s">
        <v>303</v>
      </c>
      <c r="C291">
        <f>D291+E291+F291+G291+H291+I291</f>
        <v>1</v>
      </c>
      <c r="D291" s="2">
        <v>0</v>
      </c>
      <c r="E291" s="2">
        <v>0</v>
      </c>
      <c r="F291" s="2">
        <v>0</v>
      </c>
      <c r="G291" s="2">
        <v>1</v>
      </c>
      <c r="H291" s="2">
        <v>0</v>
      </c>
      <c r="I291" s="2">
        <v>0</v>
      </c>
      <c r="J291" s="2">
        <v>1</v>
      </c>
      <c r="K291">
        <f>J291+L291</f>
        <v>1</v>
      </c>
      <c r="L291" s="2">
        <v>0</v>
      </c>
      <c r="M291" s="2">
        <v>0</v>
      </c>
      <c r="N291" s="2">
        <v>19</v>
      </c>
      <c r="O291" s="3">
        <f>N291/J291</f>
        <v>19</v>
      </c>
      <c r="P291" s="2">
        <v>0</v>
      </c>
      <c r="Q291" s="2">
        <v>0</v>
      </c>
      <c r="R291" s="2">
        <v>19</v>
      </c>
      <c r="S291" s="2">
        <v>7</v>
      </c>
      <c r="T291" s="2">
        <v>0</v>
      </c>
      <c r="U291" s="2">
        <v>3</v>
      </c>
      <c r="V291" s="2">
        <v>24</v>
      </c>
      <c r="W291" s="3">
        <f>V291/S291</f>
        <v>3.4285714285714284</v>
      </c>
      <c r="X291" s="3">
        <f>V291/U291</f>
        <v>8</v>
      </c>
      <c r="Y291" s="4">
        <f>S291*6/U291</f>
        <v>14</v>
      </c>
      <c r="Z291" s="2">
        <v>3</v>
      </c>
      <c r="AA291" s="2">
        <v>0</v>
      </c>
      <c r="AB291" s="2">
        <v>0</v>
      </c>
      <c r="AC291" s="2">
        <v>0</v>
      </c>
    </row>
    <row r="292" spans="1:29" x14ac:dyDescent="0.35">
      <c r="A292" s="1" t="s">
        <v>365</v>
      </c>
      <c r="B292" s="1" t="s">
        <v>198</v>
      </c>
      <c r="C292">
        <f>D292+E292+F292+G292+H292+I292</f>
        <v>1</v>
      </c>
      <c r="D292" s="2">
        <v>0</v>
      </c>
      <c r="E292" s="2">
        <v>0</v>
      </c>
      <c r="F292" s="2">
        <v>1</v>
      </c>
      <c r="G292" s="2">
        <v>0</v>
      </c>
      <c r="H292" s="2">
        <v>0</v>
      </c>
      <c r="I292" s="2">
        <v>0</v>
      </c>
      <c r="J292" s="2">
        <v>1</v>
      </c>
      <c r="K292">
        <f>J292+L292</f>
        <v>1</v>
      </c>
      <c r="L292" s="2">
        <v>0</v>
      </c>
      <c r="M292" s="2">
        <v>0</v>
      </c>
      <c r="N292" s="2">
        <v>2</v>
      </c>
      <c r="O292" s="3">
        <f>N292/J292</f>
        <v>2</v>
      </c>
      <c r="P292" s="2">
        <v>0</v>
      </c>
      <c r="Q292" s="2">
        <v>0</v>
      </c>
      <c r="R292" s="2">
        <v>2</v>
      </c>
      <c r="S292" s="2">
        <v>8</v>
      </c>
      <c r="T292" s="2">
        <v>0</v>
      </c>
      <c r="U292" s="2">
        <v>3</v>
      </c>
      <c r="V292" s="2">
        <v>13</v>
      </c>
      <c r="W292" s="3">
        <f>V292/S292</f>
        <v>1.625</v>
      </c>
      <c r="X292" s="3">
        <f>V292/U292</f>
        <v>4.333333333333333</v>
      </c>
      <c r="Y292" s="4">
        <f>S292*6/U292</f>
        <v>16</v>
      </c>
      <c r="Z292" s="2">
        <v>3</v>
      </c>
      <c r="AA292" s="2">
        <v>0</v>
      </c>
      <c r="AB292" s="2">
        <v>0</v>
      </c>
      <c r="AC292" s="2">
        <v>0</v>
      </c>
    </row>
    <row r="293" spans="1:29" x14ac:dyDescent="0.35">
      <c r="A293" s="1" t="s">
        <v>366</v>
      </c>
      <c r="B293" s="1" t="s">
        <v>367</v>
      </c>
      <c r="C293">
        <f>D293+E293+F293+G293+H293+I293</f>
        <v>1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1</v>
      </c>
      <c r="J293" s="2">
        <v>1</v>
      </c>
      <c r="K293">
        <f>J293+L293</f>
        <v>1</v>
      </c>
      <c r="L293" s="2">
        <v>0</v>
      </c>
      <c r="M293" s="2">
        <v>0</v>
      </c>
      <c r="N293" s="2">
        <v>1</v>
      </c>
      <c r="O293" s="3">
        <f>N293/J293</f>
        <v>1</v>
      </c>
      <c r="P293" s="2">
        <v>0</v>
      </c>
      <c r="Q293" s="2">
        <v>0</v>
      </c>
      <c r="R293" s="2">
        <v>1</v>
      </c>
      <c r="S293" s="2">
        <v>0</v>
      </c>
      <c r="T293" s="2">
        <v>0</v>
      </c>
      <c r="U293" s="2">
        <v>0</v>
      </c>
      <c r="V293" s="2">
        <v>0</v>
      </c>
      <c r="W293" s="3" t="e">
        <f>V293/S293</f>
        <v>#DIV/0!</v>
      </c>
      <c r="X293" s="3" t="e">
        <f>V293/U293</f>
        <v>#DIV/0!</v>
      </c>
      <c r="Y293" s="4" t="e">
        <f>S293*6/U293</f>
        <v>#DIV/0!</v>
      </c>
      <c r="Z293" s="2">
        <v>0</v>
      </c>
      <c r="AA293" s="2">
        <v>0</v>
      </c>
      <c r="AB293" s="2">
        <v>0</v>
      </c>
      <c r="AC293" s="2">
        <v>0</v>
      </c>
    </row>
    <row r="294" spans="1:29" x14ac:dyDescent="0.35">
      <c r="A294" s="1" t="s">
        <v>368</v>
      </c>
      <c r="B294" s="1" t="s">
        <v>369</v>
      </c>
      <c r="C294">
        <f>D294+E294+F294+G294+H294+I294</f>
        <v>13</v>
      </c>
      <c r="D294" s="2">
        <v>0</v>
      </c>
      <c r="E294" s="2">
        <v>0</v>
      </c>
      <c r="F294" s="2">
        <v>5</v>
      </c>
      <c r="G294" s="2">
        <v>8</v>
      </c>
      <c r="H294" s="2">
        <v>0</v>
      </c>
      <c r="I294" s="2">
        <v>0</v>
      </c>
      <c r="J294" s="2">
        <v>12</v>
      </c>
      <c r="K294">
        <f>J294+L294</f>
        <v>13</v>
      </c>
      <c r="L294" s="2">
        <v>1</v>
      </c>
      <c r="M294" s="2">
        <v>0</v>
      </c>
      <c r="N294" s="2">
        <v>226</v>
      </c>
      <c r="O294" s="3">
        <f>N294/J294</f>
        <v>18.833333333333332</v>
      </c>
      <c r="P294" s="2">
        <v>0</v>
      </c>
      <c r="Q294" s="2">
        <v>0</v>
      </c>
      <c r="R294" s="2">
        <v>49</v>
      </c>
      <c r="S294" s="2">
        <v>84</v>
      </c>
      <c r="T294" s="2">
        <v>17</v>
      </c>
      <c r="U294" s="2">
        <v>8</v>
      </c>
      <c r="V294" s="2">
        <v>224</v>
      </c>
      <c r="W294" s="3">
        <f>V294/S294</f>
        <v>2.6666666666666665</v>
      </c>
      <c r="X294" s="3">
        <f>V294/U294</f>
        <v>28</v>
      </c>
      <c r="Y294" s="4">
        <f>S294*6/U294</f>
        <v>63</v>
      </c>
      <c r="Z294" s="2">
        <v>3</v>
      </c>
      <c r="AA294" s="2">
        <v>0</v>
      </c>
      <c r="AB294" s="2">
        <v>0</v>
      </c>
      <c r="AC294" s="2">
        <v>2</v>
      </c>
    </row>
    <row r="295" spans="1:29" x14ac:dyDescent="0.35">
      <c r="A295" s="1" t="s">
        <v>370</v>
      </c>
      <c r="B295" s="1" t="s">
        <v>371</v>
      </c>
      <c r="C295">
        <f>D295+E295+F295+G295+H295+I295</f>
        <v>34</v>
      </c>
      <c r="D295" s="2">
        <v>17</v>
      </c>
      <c r="E295" s="2">
        <v>11</v>
      </c>
      <c r="F295" s="2">
        <v>4</v>
      </c>
      <c r="G295" s="2">
        <v>2</v>
      </c>
      <c r="H295" s="2">
        <v>0</v>
      </c>
      <c r="I295" s="2">
        <v>0</v>
      </c>
      <c r="J295" s="2">
        <v>27</v>
      </c>
      <c r="K295">
        <f>J295+L295</f>
        <v>32</v>
      </c>
      <c r="L295" s="2">
        <v>5</v>
      </c>
      <c r="M295" s="2">
        <v>7</v>
      </c>
      <c r="N295" s="2">
        <v>295</v>
      </c>
      <c r="O295" s="3">
        <f>N295/J295</f>
        <v>10.925925925925926</v>
      </c>
      <c r="P295" s="2">
        <v>1</v>
      </c>
      <c r="Q295" s="2">
        <v>0</v>
      </c>
      <c r="R295" s="2">
        <v>55</v>
      </c>
      <c r="S295" s="2">
        <v>290</v>
      </c>
      <c r="T295" s="2">
        <v>57</v>
      </c>
      <c r="U295" s="2">
        <v>48</v>
      </c>
      <c r="V295" s="2">
        <v>788</v>
      </c>
      <c r="W295" s="3">
        <f>V295/S295</f>
        <v>2.7172413793103449</v>
      </c>
      <c r="X295" s="3">
        <f>V295/U295</f>
        <v>16.416666666666668</v>
      </c>
      <c r="Y295" s="4">
        <f>S295*6/U295</f>
        <v>36.25</v>
      </c>
      <c r="Z295" s="2">
        <v>5</v>
      </c>
      <c r="AA295" s="2">
        <v>1</v>
      </c>
      <c r="AB295" s="2">
        <v>0</v>
      </c>
      <c r="AC295" s="2">
        <v>2</v>
      </c>
    </row>
    <row r="296" spans="1:29" x14ac:dyDescent="0.35">
      <c r="A296" s="1" t="s">
        <v>372</v>
      </c>
      <c r="B296" s="1" t="s">
        <v>373</v>
      </c>
      <c r="C296">
        <f>D296+E296+F296+G296+H296+I296</f>
        <v>2</v>
      </c>
      <c r="D296" s="2">
        <v>0</v>
      </c>
      <c r="E296" s="2">
        <v>0</v>
      </c>
      <c r="F296" s="2">
        <v>0</v>
      </c>
      <c r="G296" s="2">
        <v>2</v>
      </c>
      <c r="H296" s="2">
        <v>0</v>
      </c>
      <c r="I296" s="2">
        <v>0</v>
      </c>
      <c r="J296" s="2">
        <v>0</v>
      </c>
      <c r="K296">
        <f>J296+L296</f>
        <v>0</v>
      </c>
      <c r="L296" s="2">
        <v>0</v>
      </c>
      <c r="M296" s="2">
        <v>2</v>
      </c>
      <c r="N296" s="2">
        <v>0</v>
      </c>
      <c r="O296" s="3" t="e">
        <f>N296/J296</f>
        <v>#DIV/0!</v>
      </c>
      <c r="P296" s="2">
        <v>0</v>
      </c>
      <c r="Q296" s="2">
        <v>0</v>
      </c>
      <c r="R296" s="2">
        <v>0</v>
      </c>
      <c r="S296" s="2">
        <v>12</v>
      </c>
      <c r="T296" s="2">
        <v>1</v>
      </c>
      <c r="U296" s="2">
        <v>2</v>
      </c>
      <c r="V296" s="2">
        <v>41</v>
      </c>
      <c r="W296" s="3">
        <f>V296/S296</f>
        <v>3.4166666666666665</v>
      </c>
      <c r="X296" s="3">
        <f>V296/U296</f>
        <v>20.5</v>
      </c>
      <c r="Y296" s="4">
        <f>S296*6/U296</f>
        <v>36</v>
      </c>
      <c r="Z296" s="2">
        <v>1</v>
      </c>
      <c r="AA296" s="2">
        <v>0</v>
      </c>
      <c r="AB296" s="2">
        <v>0</v>
      </c>
      <c r="AC296" s="2">
        <v>0</v>
      </c>
    </row>
    <row r="297" spans="1:29" x14ac:dyDescent="0.35">
      <c r="A297" s="1" t="s">
        <v>374</v>
      </c>
      <c r="B297" s="1" t="s">
        <v>16</v>
      </c>
      <c r="C297">
        <f>D297+E297+F297+G297+H297+I297</f>
        <v>6</v>
      </c>
      <c r="D297" s="2">
        <v>0</v>
      </c>
      <c r="E297" s="2">
        <v>0</v>
      </c>
      <c r="F297" s="2">
        <v>0</v>
      </c>
      <c r="G297" s="2">
        <v>5</v>
      </c>
      <c r="H297" s="2">
        <v>1</v>
      </c>
      <c r="I297" s="2">
        <v>0</v>
      </c>
      <c r="J297" s="2">
        <v>6</v>
      </c>
      <c r="K297">
        <f>J297+L297</f>
        <v>7</v>
      </c>
      <c r="L297" s="2">
        <v>1</v>
      </c>
      <c r="M297" s="2">
        <v>1</v>
      </c>
      <c r="N297" s="2">
        <v>34</v>
      </c>
      <c r="O297" s="3">
        <f>N297/J297</f>
        <v>5.666666666666667</v>
      </c>
      <c r="P297" s="2">
        <v>0</v>
      </c>
      <c r="Q297" s="2">
        <v>0</v>
      </c>
      <c r="R297" s="2">
        <v>18</v>
      </c>
      <c r="S297" s="2">
        <v>63</v>
      </c>
      <c r="T297" s="2">
        <v>11</v>
      </c>
      <c r="U297" s="2">
        <v>11</v>
      </c>
      <c r="V297" s="2">
        <v>189</v>
      </c>
      <c r="W297" s="3">
        <f>V297/S297</f>
        <v>3</v>
      </c>
      <c r="X297" s="3">
        <f>V297/U297</f>
        <v>17.181818181818183</v>
      </c>
      <c r="Y297" s="4">
        <f>S297*6/U297</f>
        <v>34.363636363636367</v>
      </c>
      <c r="Z297" s="2">
        <v>5</v>
      </c>
      <c r="AA297" s="2">
        <v>0</v>
      </c>
      <c r="AB297" s="2">
        <v>0</v>
      </c>
      <c r="AC297" s="2">
        <v>0</v>
      </c>
    </row>
    <row r="298" spans="1:29" x14ac:dyDescent="0.35">
      <c r="A298" s="1" t="s">
        <v>375</v>
      </c>
      <c r="B298" s="1" t="s">
        <v>175</v>
      </c>
      <c r="C298">
        <f>D298+E298+F298+G298+H298+I298</f>
        <v>11</v>
      </c>
      <c r="D298" s="2">
        <v>0</v>
      </c>
      <c r="E298" s="2">
        <v>1</v>
      </c>
      <c r="F298" s="2">
        <v>9</v>
      </c>
      <c r="G298" s="2">
        <v>1</v>
      </c>
      <c r="H298" s="2">
        <v>0</v>
      </c>
      <c r="I298" s="2">
        <v>0</v>
      </c>
      <c r="J298" s="2">
        <v>16</v>
      </c>
      <c r="K298">
        <f>J298+L298</f>
        <v>21</v>
      </c>
      <c r="L298" s="2">
        <v>5</v>
      </c>
      <c r="M298" s="2">
        <v>2</v>
      </c>
      <c r="N298" s="2">
        <v>233</v>
      </c>
      <c r="O298" s="3">
        <f>N298/J298</f>
        <v>14.5625</v>
      </c>
      <c r="P298" s="2">
        <v>0</v>
      </c>
      <c r="Q298" s="2">
        <v>0</v>
      </c>
      <c r="R298" s="2">
        <v>48</v>
      </c>
      <c r="S298" s="2">
        <v>53</v>
      </c>
      <c r="T298" s="2">
        <v>7</v>
      </c>
      <c r="U298" s="2">
        <v>8</v>
      </c>
      <c r="V298" s="2">
        <v>232</v>
      </c>
      <c r="W298" s="3">
        <f>V298/S298</f>
        <v>4.3773584905660377</v>
      </c>
      <c r="X298" s="3">
        <f>V298/U298</f>
        <v>29</v>
      </c>
      <c r="Y298" s="4">
        <f>S298*6/U298</f>
        <v>39.75</v>
      </c>
      <c r="Z298" s="2">
        <v>2</v>
      </c>
      <c r="AA298" s="2">
        <v>0</v>
      </c>
      <c r="AB298" s="2">
        <v>0</v>
      </c>
      <c r="AC298" s="2">
        <v>2</v>
      </c>
    </row>
    <row r="299" spans="1:29" x14ac:dyDescent="0.35">
      <c r="A299" s="1" t="s">
        <v>376</v>
      </c>
      <c r="B299" s="1" t="s">
        <v>377</v>
      </c>
      <c r="C299">
        <f>D299+E299+F299+G299+H299+I299</f>
        <v>3</v>
      </c>
      <c r="D299" s="2">
        <v>0</v>
      </c>
      <c r="E299" s="2">
        <v>0</v>
      </c>
      <c r="F299" s="2">
        <v>0</v>
      </c>
      <c r="G299" s="2">
        <v>0</v>
      </c>
      <c r="H299" s="2">
        <v>3</v>
      </c>
      <c r="I299" s="2">
        <v>0</v>
      </c>
      <c r="J299" s="2">
        <v>2</v>
      </c>
      <c r="K299">
        <f>J299+L299</f>
        <v>2</v>
      </c>
      <c r="L299" s="2">
        <v>0</v>
      </c>
      <c r="M299" s="2">
        <v>2</v>
      </c>
      <c r="N299" s="2">
        <v>0</v>
      </c>
      <c r="O299" s="3">
        <f>N299/J299</f>
        <v>0</v>
      </c>
      <c r="P299" s="2">
        <v>0</v>
      </c>
      <c r="Q299" s="2">
        <v>0</v>
      </c>
      <c r="R299" s="2">
        <v>0</v>
      </c>
      <c r="S299" s="2">
        <v>21</v>
      </c>
      <c r="T299" s="2">
        <v>0</v>
      </c>
      <c r="U299" s="2">
        <v>2</v>
      </c>
      <c r="V299" s="2">
        <v>102</v>
      </c>
      <c r="W299" s="3">
        <f>V299/S299</f>
        <v>4.8571428571428568</v>
      </c>
      <c r="X299" s="3">
        <f>V299/U299</f>
        <v>51</v>
      </c>
      <c r="Y299" s="4">
        <f>S299*6/U299</f>
        <v>63</v>
      </c>
      <c r="Z299" s="2">
        <v>2</v>
      </c>
      <c r="AA299" s="2">
        <v>0</v>
      </c>
      <c r="AB299" s="2">
        <v>0</v>
      </c>
      <c r="AC299" s="2">
        <v>0</v>
      </c>
    </row>
    <row r="300" spans="1:29" x14ac:dyDescent="0.35">
      <c r="A300" s="1" t="s">
        <v>378</v>
      </c>
      <c r="B300" s="1" t="s">
        <v>379</v>
      </c>
      <c r="C300">
        <f>D300+E300+F300+G300+H300+I300</f>
        <v>8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8</v>
      </c>
      <c r="J300" s="2">
        <v>5</v>
      </c>
      <c r="K300">
        <f>J300+L300</f>
        <v>6</v>
      </c>
      <c r="L300" s="2">
        <v>1</v>
      </c>
      <c r="M300" s="2">
        <v>2</v>
      </c>
      <c r="N300" s="2">
        <v>27</v>
      </c>
      <c r="O300" s="3">
        <f>N300/J300</f>
        <v>5.4</v>
      </c>
      <c r="P300" s="2">
        <v>0</v>
      </c>
      <c r="Q300" s="2">
        <v>0</v>
      </c>
      <c r="R300" s="2">
        <v>22</v>
      </c>
      <c r="S300" s="2">
        <v>69</v>
      </c>
      <c r="T300" s="2">
        <v>12</v>
      </c>
      <c r="U300" s="2">
        <v>9</v>
      </c>
      <c r="V300" s="2">
        <v>187</v>
      </c>
      <c r="W300" s="3">
        <f>V300/S300</f>
        <v>2.7101449275362319</v>
      </c>
      <c r="X300" s="3">
        <f>V300/U300</f>
        <v>20.777777777777779</v>
      </c>
      <c r="Y300" s="4">
        <f>S300*6/U300</f>
        <v>46</v>
      </c>
      <c r="Z300" s="2">
        <v>4</v>
      </c>
      <c r="AA300" s="2">
        <v>0</v>
      </c>
      <c r="AB300" s="2">
        <v>0</v>
      </c>
      <c r="AC300" s="2">
        <v>1</v>
      </c>
    </row>
    <row r="301" spans="1:29" x14ac:dyDescent="0.35">
      <c r="A301" s="11" t="s">
        <v>380</v>
      </c>
      <c r="B301" s="11" t="s">
        <v>1332</v>
      </c>
      <c r="C301">
        <f>D301+E301+F301+G301+H301+I301</f>
        <v>5</v>
      </c>
      <c r="D301" s="2">
        <v>0</v>
      </c>
      <c r="E301" s="2">
        <v>0</v>
      </c>
      <c r="F301" s="2">
        <v>0</v>
      </c>
      <c r="G301" s="2">
        <v>5</v>
      </c>
      <c r="H301" s="2">
        <v>0</v>
      </c>
      <c r="I301" s="2">
        <v>0</v>
      </c>
      <c r="J301" s="2">
        <v>1</v>
      </c>
      <c r="K301">
        <f>J301+L301</f>
        <v>2</v>
      </c>
      <c r="L301" s="2">
        <v>1</v>
      </c>
      <c r="M301" s="2">
        <v>3</v>
      </c>
      <c r="N301" s="2">
        <v>0</v>
      </c>
      <c r="O301" s="3">
        <f>N301/J301</f>
        <v>0</v>
      </c>
      <c r="P301" s="2">
        <v>0</v>
      </c>
      <c r="Q301" s="2">
        <v>0</v>
      </c>
      <c r="R301" s="11" t="s">
        <v>1138</v>
      </c>
      <c r="S301" s="40">
        <v>0</v>
      </c>
      <c r="T301" s="40">
        <v>0</v>
      </c>
      <c r="U301" s="40">
        <v>0</v>
      </c>
      <c r="V301" s="40">
        <v>0</v>
      </c>
      <c r="W301" s="3">
        <v>0</v>
      </c>
      <c r="X301" s="3">
        <v>0</v>
      </c>
      <c r="Y301" s="4">
        <v>0</v>
      </c>
      <c r="Z301" s="40">
        <v>0</v>
      </c>
      <c r="AA301" s="40">
        <v>0</v>
      </c>
      <c r="AB301" s="40">
        <v>0</v>
      </c>
      <c r="AC301" s="2">
        <v>2</v>
      </c>
    </row>
    <row r="302" spans="1:29" x14ac:dyDescent="0.35">
      <c r="A302" s="35" t="s">
        <v>380</v>
      </c>
      <c r="B302" s="35" t="s">
        <v>265</v>
      </c>
      <c r="C302">
        <f>D302+E302+F302+G302+H302+I302</f>
        <v>6</v>
      </c>
      <c r="D302" s="5">
        <v>0</v>
      </c>
      <c r="E302" s="5">
        <v>0</v>
      </c>
      <c r="F302" s="5">
        <v>0</v>
      </c>
      <c r="G302" s="5">
        <v>6</v>
      </c>
      <c r="H302" s="5">
        <v>0</v>
      </c>
      <c r="I302" s="5">
        <v>0</v>
      </c>
      <c r="J302" s="5">
        <v>2</v>
      </c>
      <c r="K302">
        <f>J302+L302</f>
        <v>2</v>
      </c>
      <c r="L302" s="5">
        <v>0</v>
      </c>
      <c r="M302" s="5">
        <v>4</v>
      </c>
      <c r="N302" s="5">
        <v>5</v>
      </c>
      <c r="O302" s="3">
        <f>N302/J302</f>
        <v>2.5</v>
      </c>
      <c r="P302" s="5">
        <v>0</v>
      </c>
      <c r="Q302" s="5">
        <v>0</v>
      </c>
      <c r="R302" s="40">
        <v>5</v>
      </c>
      <c r="S302" s="10">
        <v>9</v>
      </c>
      <c r="T302" s="10">
        <v>0</v>
      </c>
      <c r="U302" s="10">
        <v>1</v>
      </c>
      <c r="V302" s="10">
        <v>59</v>
      </c>
      <c r="W302" s="3">
        <f>V302/S302</f>
        <v>6.5555555555555554</v>
      </c>
      <c r="X302" s="3">
        <f>V302/U302</f>
        <v>59</v>
      </c>
      <c r="Y302" s="3">
        <f>S302*6/U302</f>
        <v>54</v>
      </c>
      <c r="Z302" s="10" t="s">
        <v>1329</v>
      </c>
      <c r="AA302" s="5">
        <v>0</v>
      </c>
      <c r="AB302" s="5">
        <v>0</v>
      </c>
      <c r="AC302" s="5">
        <v>0</v>
      </c>
    </row>
    <row r="303" spans="1:29" x14ac:dyDescent="0.35">
      <c r="A303" s="34" t="s">
        <v>380</v>
      </c>
      <c r="B303" s="34" t="s">
        <v>381</v>
      </c>
      <c r="C303">
        <f>D303+E303+F303+G303+H303+I303</f>
        <v>4</v>
      </c>
      <c r="D303" s="40">
        <v>0</v>
      </c>
      <c r="E303" s="40">
        <v>0</v>
      </c>
      <c r="F303" s="40">
        <v>1</v>
      </c>
      <c r="G303" s="40">
        <v>3</v>
      </c>
      <c r="H303" s="40">
        <v>0</v>
      </c>
      <c r="I303" s="40">
        <v>0</v>
      </c>
      <c r="J303" s="40">
        <v>4</v>
      </c>
      <c r="K303">
        <f>J303+L303</f>
        <v>4</v>
      </c>
      <c r="L303" s="40">
        <v>0</v>
      </c>
      <c r="M303" s="40">
        <v>0</v>
      </c>
      <c r="N303" s="40">
        <f>23+39</f>
        <v>62</v>
      </c>
      <c r="O303" s="3">
        <f>N303/J303</f>
        <v>15.5</v>
      </c>
      <c r="P303" s="40">
        <v>0</v>
      </c>
      <c r="Q303" s="40">
        <v>0</v>
      </c>
      <c r="R303" s="40">
        <v>23</v>
      </c>
      <c r="S303" s="35">
        <v>3</v>
      </c>
      <c r="T303" s="35">
        <v>1</v>
      </c>
      <c r="U303" s="35">
        <v>0</v>
      </c>
      <c r="V303" s="35">
        <v>13</v>
      </c>
      <c r="W303" s="3">
        <f>V303/S303</f>
        <v>4.333333333333333</v>
      </c>
      <c r="X303" s="3">
        <v>0</v>
      </c>
      <c r="Y303" s="3">
        <v>0</v>
      </c>
      <c r="Z303" s="35" t="s">
        <v>1285</v>
      </c>
      <c r="AA303" s="35">
        <v>0</v>
      </c>
      <c r="AB303" s="35">
        <v>0</v>
      </c>
      <c r="AC303" s="40">
        <v>0</v>
      </c>
    </row>
    <row r="304" spans="1:29" x14ac:dyDescent="0.35">
      <c r="A304" s="1" t="s">
        <v>382</v>
      </c>
      <c r="B304" s="1" t="s">
        <v>351</v>
      </c>
      <c r="C304">
        <f>D304+E304+F304+G304+H304+I304</f>
        <v>3</v>
      </c>
      <c r="D304" s="2">
        <v>2</v>
      </c>
      <c r="E304" s="2">
        <v>1</v>
      </c>
      <c r="F304" s="2">
        <v>0</v>
      </c>
      <c r="G304" s="2">
        <v>0</v>
      </c>
      <c r="H304" s="2">
        <v>0</v>
      </c>
      <c r="I304" s="2">
        <v>0</v>
      </c>
      <c r="J304" s="2">
        <v>3</v>
      </c>
      <c r="K304">
        <f>J304+L304</f>
        <v>3</v>
      </c>
      <c r="L304" s="2">
        <v>0</v>
      </c>
      <c r="M304" s="2">
        <v>0</v>
      </c>
      <c r="N304" s="2">
        <v>97</v>
      </c>
      <c r="O304" s="3">
        <f>N304/J304</f>
        <v>32.333333333333336</v>
      </c>
      <c r="P304" s="2">
        <v>1</v>
      </c>
      <c r="Q304" s="2">
        <v>0</v>
      </c>
      <c r="R304" s="2">
        <v>82</v>
      </c>
      <c r="S304" s="2">
        <v>4</v>
      </c>
      <c r="T304" s="2">
        <v>1</v>
      </c>
      <c r="U304" s="2">
        <v>1</v>
      </c>
      <c r="V304" s="2">
        <v>22</v>
      </c>
      <c r="W304" s="3">
        <f>V304/S304</f>
        <v>5.5</v>
      </c>
      <c r="X304" s="3">
        <f>V304/U304</f>
        <v>22</v>
      </c>
      <c r="Y304" s="4">
        <f>S304*6/U304</f>
        <v>24</v>
      </c>
      <c r="Z304" s="2">
        <v>1</v>
      </c>
      <c r="AA304" s="2">
        <v>0</v>
      </c>
      <c r="AB304" s="2">
        <v>0</v>
      </c>
      <c r="AC304" s="2">
        <v>0</v>
      </c>
    </row>
    <row r="305" spans="1:29" x14ac:dyDescent="0.35">
      <c r="A305" s="25" t="s">
        <v>383</v>
      </c>
      <c r="B305" s="25" t="s">
        <v>387</v>
      </c>
      <c r="C305">
        <f>D305+E305+F305+G305+H305+I305</f>
        <v>56</v>
      </c>
      <c r="D305" s="40">
        <v>41</v>
      </c>
      <c r="E305" s="40">
        <v>10</v>
      </c>
      <c r="F305" s="40">
        <v>5</v>
      </c>
      <c r="G305" s="40">
        <v>0</v>
      </c>
      <c r="H305" s="40">
        <v>0</v>
      </c>
      <c r="I305" s="40">
        <v>0</v>
      </c>
      <c r="J305" s="40">
        <v>34</v>
      </c>
      <c r="K305">
        <f>J305+L305</f>
        <v>47</v>
      </c>
      <c r="L305" s="40">
        <v>13</v>
      </c>
      <c r="M305" s="40">
        <v>11</v>
      </c>
      <c r="N305" s="40">
        <f>926+39</f>
        <v>965</v>
      </c>
      <c r="O305" s="3">
        <f>N305/J305</f>
        <v>28.382352941176471</v>
      </c>
      <c r="P305" s="40">
        <v>6</v>
      </c>
      <c r="Q305" s="40">
        <v>0</v>
      </c>
      <c r="R305" s="40">
        <v>79</v>
      </c>
      <c r="S305" s="6">
        <v>139</v>
      </c>
      <c r="T305" s="6">
        <v>23</v>
      </c>
      <c r="U305" s="6">
        <v>21</v>
      </c>
      <c r="V305" s="6">
        <v>429</v>
      </c>
      <c r="W305" s="3">
        <f>V305/S305</f>
        <v>3.0863309352517985</v>
      </c>
      <c r="X305" s="3">
        <f>V305/U305</f>
        <v>20.428571428571427</v>
      </c>
      <c r="Y305" s="4">
        <f>S305*6/U305</f>
        <v>39.714285714285715</v>
      </c>
      <c r="Z305" s="6">
        <v>4</v>
      </c>
      <c r="AA305" s="6">
        <v>0</v>
      </c>
      <c r="AB305" s="40">
        <v>0</v>
      </c>
      <c r="AC305" s="6">
        <v>19</v>
      </c>
    </row>
    <row r="306" spans="1:29" x14ac:dyDescent="0.35">
      <c r="A306" s="1" t="s">
        <v>383</v>
      </c>
      <c r="B306" s="1" t="s">
        <v>389</v>
      </c>
      <c r="C306">
        <f>D306+E306+F306+G306+H306+I306</f>
        <v>48</v>
      </c>
      <c r="D306" s="2">
        <v>0</v>
      </c>
      <c r="E306" s="2">
        <v>5</v>
      </c>
      <c r="F306" s="2">
        <v>9</v>
      </c>
      <c r="G306" s="2">
        <v>15</v>
      </c>
      <c r="H306" s="2">
        <v>10</v>
      </c>
      <c r="I306" s="2">
        <v>9</v>
      </c>
      <c r="J306" s="2">
        <v>52</v>
      </c>
      <c r="K306">
        <f>J306+L306</f>
        <v>58</v>
      </c>
      <c r="L306" s="2">
        <v>6</v>
      </c>
      <c r="M306" s="2">
        <v>8</v>
      </c>
      <c r="N306" s="2">
        <v>1299</v>
      </c>
      <c r="O306" s="3">
        <f>N306/J306</f>
        <v>24.98076923076923</v>
      </c>
      <c r="P306" s="2">
        <v>7</v>
      </c>
      <c r="Q306" s="2">
        <v>2</v>
      </c>
      <c r="R306" s="2">
        <v>103</v>
      </c>
      <c r="S306" s="2">
        <v>244</v>
      </c>
      <c r="T306" s="2">
        <v>32</v>
      </c>
      <c r="U306" s="2">
        <v>49</v>
      </c>
      <c r="V306" s="2">
        <v>963</v>
      </c>
      <c r="W306" s="3">
        <f>V306/S306</f>
        <v>3.9467213114754101</v>
      </c>
      <c r="X306" s="3">
        <f>V306/U306</f>
        <v>19.653061224489797</v>
      </c>
      <c r="Y306" s="4">
        <f>S306*6/U306</f>
        <v>29.877551020408163</v>
      </c>
      <c r="Z306" s="2">
        <v>6</v>
      </c>
      <c r="AA306" s="2">
        <v>0</v>
      </c>
      <c r="AB306" s="2">
        <v>0</v>
      </c>
      <c r="AC306" s="2">
        <v>16</v>
      </c>
    </row>
    <row r="307" spans="1:29" x14ac:dyDescent="0.35">
      <c r="A307" s="11" t="s">
        <v>383</v>
      </c>
      <c r="B307" s="11" t="s">
        <v>1183</v>
      </c>
      <c r="C307">
        <f>D307+E307+F307+G307+H307+I307</f>
        <v>12</v>
      </c>
      <c r="D307" s="2">
        <v>12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7</v>
      </c>
      <c r="K307" s="6">
        <f>J307+L307</f>
        <v>10</v>
      </c>
      <c r="L307" s="2">
        <v>3</v>
      </c>
      <c r="M307" s="2">
        <v>2</v>
      </c>
      <c r="N307" s="2">
        <v>71</v>
      </c>
      <c r="O307" s="3">
        <f>N307/J307</f>
        <v>10.142857142857142</v>
      </c>
      <c r="P307" s="2">
        <v>0</v>
      </c>
      <c r="Q307" s="2">
        <v>0</v>
      </c>
      <c r="R307" s="2">
        <v>21</v>
      </c>
      <c r="S307" s="2">
        <v>0</v>
      </c>
      <c r="T307" s="2">
        <v>0</v>
      </c>
      <c r="U307" s="2">
        <v>0</v>
      </c>
      <c r="V307" s="2">
        <v>0</v>
      </c>
      <c r="W307" s="3">
        <v>0</v>
      </c>
      <c r="X307" s="3">
        <v>0</v>
      </c>
      <c r="Y307" s="4">
        <v>0</v>
      </c>
      <c r="Z307" s="2">
        <v>0</v>
      </c>
      <c r="AA307" s="2">
        <v>0</v>
      </c>
      <c r="AB307" s="2">
        <v>0</v>
      </c>
      <c r="AC307" s="2">
        <v>10</v>
      </c>
    </row>
    <row r="308" spans="1:29" x14ac:dyDescent="0.35">
      <c r="A308" s="1" t="s">
        <v>383</v>
      </c>
      <c r="B308" s="1" t="s">
        <v>388</v>
      </c>
      <c r="C308">
        <f>D308+E308+F308+G308+H308+I308</f>
        <v>26</v>
      </c>
      <c r="D308" s="2">
        <v>0</v>
      </c>
      <c r="E308" s="2">
        <v>6</v>
      </c>
      <c r="F308" s="2">
        <v>11</v>
      </c>
      <c r="G308" s="2">
        <v>7</v>
      </c>
      <c r="H308" s="2">
        <v>1</v>
      </c>
      <c r="I308" s="2">
        <v>1</v>
      </c>
      <c r="J308" s="2">
        <v>39</v>
      </c>
      <c r="K308">
        <f>J308+L308</f>
        <v>42</v>
      </c>
      <c r="L308" s="2">
        <v>3</v>
      </c>
      <c r="M308" s="2">
        <v>0</v>
      </c>
      <c r="N308" s="2">
        <v>818</v>
      </c>
      <c r="O308" s="3">
        <f>N308/J308</f>
        <v>20.974358974358974</v>
      </c>
      <c r="P308" s="2">
        <v>7</v>
      </c>
      <c r="Q308" s="2">
        <v>0</v>
      </c>
      <c r="R308" s="2">
        <v>80</v>
      </c>
      <c r="S308" s="2">
        <v>181</v>
      </c>
      <c r="T308" s="2">
        <v>41</v>
      </c>
      <c r="U308" s="2">
        <v>26</v>
      </c>
      <c r="V308" s="2">
        <v>540</v>
      </c>
      <c r="W308" s="3">
        <f>V308/S308</f>
        <v>2.9834254143646408</v>
      </c>
      <c r="X308" s="3">
        <f>V308/U308</f>
        <v>20.76923076923077</v>
      </c>
      <c r="Y308" s="4">
        <f>S308*6/U308</f>
        <v>41.769230769230766</v>
      </c>
      <c r="Z308" s="2">
        <v>4</v>
      </c>
      <c r="AA308" s="2">
        <v>0</v>
      </c>
      <c r="AB308" s="2">
        <v>0</v>
      </c>
      <c r="AC308" s="2">
        <v>6</v>
      </c>
    </row>
    <row r="309" spans="1:29" x14ac:dyDescent="0.35">
      <c r="A309" s="1" t="s">
        <v>383</v>
      </c>
      <c r="B309" s="1" t="s">
        <v>384</v>
      </c>
      <c r="C309">
        <f>D309+E309+F309+G309+H309+I309</f>
        <v>13</v>
      </c>
      <c r="D309" s="2">
        <v>0</v>
      </c>
      <c r="E309" s="2">
        <v>0</v>
      </c>
      <c r="F309" s="2">
        <v>0</v>
      </c>
      <c r="G309" s="2">
        <v>0</v>
      </c>
      <c r="H309" s="2">
        <v>13</v>
      </c>
      <c r="I309" s="2">
        <v>0</v>
      </c>
      <c r="J309" s="2">
        <v>8</v>
      </c>
      <c r="K309">
        <f>J309+L309</f>
        <v>10</v>
      </c>
      <c r="L309" s="2">
        <v>2</v>
      </c>
      <c r="M309" s="2">
        <v>3</v>
      </c>
      <c r="N309" s="2">
        <v>95</v>
      </c>
      <c r="O309" s="3">
        <f>N309/J309</f>
        <v>11.875</v>
      </c>
      <c r="P309" s="2">
        <v>0</v>
      </c>
      <c r="Q309" s="2">
        <v>0</v>
      </c>
      <c r="R309" s="2">
        <v>21</v>
      </c>
      <c r="S309" s="2">
        <v>79</v>
      </c>
      <c r="T309" s="2">
        <v>5</v>
      </c>
      <c r="U309" s="2">
        <v>15</v>
      </c>
      <c r="V309" s="2">
        <v>305</v>
      </c>
      <c r="W309" s="3">
        <f>V309/S309</f>
        <v>3.8607594936708862</v>
      </c>
      <c r="X309" s="3">
        <f>V309/U309</f>
        <v>20.333333333333332</v>
      </c>
      <c r="Y309" s="4">
        <f>S309*6/U309</f>
        <v>31.6</v>
      </c>
      <c r="Z309" s="2">
        <v>3</v>
      </c>
      <c r="AA309" s="2">
        <v>0</v>
      </c>
      <c r="AB309" s="2">
        <v>0</v>
      </c>
      <c r="AC309" s="2">
        <v>4</v>
      </c>
    </row>
    <row r="310" spans="1:29" x14ac:dyDescent="0.35">
      <c r="A310" s="1" t="s">
        <v>383</v>
      </c>
      <c r="B310" s="1" t="s">
        <v>386</v>
      </c>
      <c r="C310">
        <f>D310+E310+F310+G310+H310+I310</f>
        <v>8</v>
      </c>
      <c r="D310" s="2">
        <v>0</v>
      </c>
      <c r="E310" s="2">
        <v>0</v>
      </c>
      <c r="F310" s="2">
        <v>0</v>
      </c>
      <c r="G310" s="2">
        <v>8</v>
      </c>
      <c r="H310" s="2">
        <v>0</v>
      </c>
      <c r="I310" s="2">
        <v>0</v>
      </c>
      <c r="J310" s="2">
        <v>2</v>
      </c>
      <c r="K310">
        <f>J310+L310</f>
        <v>4</v>
      </c>
      <c r="L310" s="2">
        <v>2</v>
      </c>
      <c r="M310" s="2">
        <v>4</v>
      </c>
      <c r="N310" s="2">
        <v>81</v>
      </c>
      <c r="O310" s="3">
        <f>N310/J310</f>
        <v>40.5</v>
      </c>
      <c r="P310" s="2">
        <v>1</v>
      </c>
      <c r="Q310" s="2">
        <v>0</v>
      </c>
      <c r="R310" s="2">
        <v>62</v>
      </c>
      <c r="S310" s="2">
        <v>41</v>
      </c>
      <c r="T310" s="2">
        <v>2</v>
      </c>
      <c r="U310" s="2">
        <v>9</v>
      </c>
      <c r="V310" s="2">
        <v>214</v>
      </c>
      <c r="W310" s="3">
        <f>V310/S310</f>
        <v>5.2195121951219514</v>
      </c>
      <c r="X310" s="3">
        <f>V310/U310</f>
        <v>23.777777777777779</v>
      </c>
      <c r="Y310" s="4">
        <f>S310*6/U310</f>
        <v>27.333333333333332</v>
      </c>
      <c r="Z310" s="2">
        <v>4</v>
      </c>
      <c r="AA310" s="2">
        <v>0</v>
      </c>
      <c r="AB310" s="2">
        <v>0</v>
      </c>
      <c r="AC310" s="2">
        <v>2</v>
      </c>
    </row>
    <row r="311" spans="1:29" x14ac:dyDescent="0.35">
      <c r="A311" s="11" t="s">
        <v>383</v>
      </c>
      <c r="B311" s="11" t="s">
        <v>1159</v>
      </c>
      <c r="C311">
        <f>D311+E311+F311+G311+H311+I311</f>
        <v>5</v>
      </c>
      <c r="D311" s="2">
        <v>0</v>
      </c>
      <c r="E311" s="2">
        <v>0</v>
      </c>
      <c r="F311" s="2">
        <v>0</v>
      </c>
      <c r="G311" s="2">
        <v>5</v>
      </c>
      <c r="H311" s="2">
        <v>0</v>
      </c>
      <c r="I311" s="2">
        <v>0</v>
      </c>
      <c r="J311" s="2">
        <v>2</v>
      </c>
      <c r="K311">
        <f>J311+L311</f>
        <v>4</v>
      </c>
      <c r="L311" s="2">
        <v>2</v>
      </c>
      <c r="M311" s="2">
        <v>1</v>
      </c>
      <c r="N311" s="2">
        <v>10</v>
      </c>
      <c r="O311" s="3">
        <f>N311/J311</f>
        <v>5</v>
      </c>
      <c r="P311" s="2">
        <v>0</v>
      </c>
      <c r="Q311" s="2">
        <v>0</v>
      </c>
      <c r="R311" s="2">
        <v>6</v>
      </c>
      <c r="S311" s="11">
        <v>18</v>
      </c>
      <c r="T311" s="11">
        <v>0</v>
      </c>
      <c r="U311" s="11">
        <v>3</v>
      </c>
      <c r="V311" s="11">
        <v>104</v>
      </c>
      <c r="W311" s="3">
        <f>104/18</f>
        <v>5.7777777777777777</v>
      </c>
      <c r="X311" s="3">
        <v>34.67</v>
      </c>
      <c r="Y311" s="4">
        <f>S311*6/U311</f>
        <v>36</v>
      </c>
      <c r="Z311" s="11" t="s">
        <v>1160</v>
      </c>
      <c r="AA311" s="11">
        <v>0</v>
      </c>
      <c r="AB311" s="2">
        <v>0</v>
      </c>
      <c r="AC311" s="2">
        <v>2</v>
      </c>
    </row>
    <row r="312" spans="1:29" x14ac:dyDescent="0.35">
      <c r="A312" s="35" t="s">
        <v>383</v>
      </c>
      <c r="B312" s="35" t="s">
        <v>1332</v>
      </c>
      <c r="C312">
        <f>D312+E312+F312+G312+H312+I312</f>
        <v>11</v>
      </c>
      <c r="D312" s="5">
        <v>0</v>
      </c>
      <c r="E312" s="5">
        <v>0</v>
      </c>
      <c r="F312" s="5">
        <v>0</v>
      </c>
      <c r="G312" s="5">
        <v>11</v>
      </c>
      <c r="H312" s="5">
        <v>0</v>
      </c>
      <c r="I312" s="5">
        <v>0</v>
      </c>
      <c r="J312" s="5">
        <v>11</v>
      </c>
      <c r="K312" s="12">
        <f>J312+L312</f>
        <v>11</v>
      </c>
      <c r="L312" s="5">
        <v>0</v>
      </c>
      <c r="M312" s="5">
        <v>0</v>
      </c>
      <c r="N312" s="5">
        <v>221</v>
      </c>
      <c r="O312" s="3">
        <f>N312/J312</f>
        <v>20.09090909090909</v>
      </c>
      <c r="P312" s="5">
        <v>0</v>
      </c>
      <c r="Q312" s="5">
        <v>0</v>
      </c>
      <c r="R312" s="5">
        <v>46</v>
      </c>
      <c r="S312" s="5">
        <v>0</v>
      </c>
      <c r="T312" s="5">
        <v>0</v>
      </c>
      <c r="U312" s="5">
        <v>0</v>
      </c>
      <c r="V312" s="5">
        <v>0</v>
      </c>
      <c r="W312" s="3" t="e">
        <f>V312/S312</f>
        <v>#DIV/0!</v>
      </c>
      <c r="Z312" s="5">
        <v>0</v>
      </c>
      <c r="AA312" s="5">
        <v>0</v>
      </c>
      <c r="AB312" s="5">
        <v>0</v>
      </c>
      <c r="AC312" s="5">
        <v>1</v>
      </c>
    </row>
    <row r="313" spans="1:29" x14ac:dyDescent="0.35">
      <c r="A313" s="1" t="s">
        <v>383</v>
      </c>
      <c r="B313" s="1" t="s">
        <v>391</v>
      </c>
      <c r="C313">
        <f>D313+E313+F313+G313+H313+I313</f>
        <v>7</v>
      </c>
      <c r="D313" s="2">
        <v>0</v>
      </c>
      <c r="E313" s="2">
        <v>0</v>
      </c>
      <c r="F313" s="2">
        <v>0</v>
      </c>
      <c r="G313" s="2">
        <v>0</v>
      </c>
      <c r="H313" s="2">
        <v>7</v>
      </c>
      <c r="I313" s="2">
        <v>0</v>
      </c>
      <c r="J313" s="2">
        <v>7</v>
      </c>
      <c r="K313">
        <f>J313+L313</f>
        <v>7</v>
      </c>
      <c r="L313" s="2">
        <v>0</v>
      </c>
      <c r="M313" s="2">
        <v>0</v>
      </c>
      <c r="N313" s="2">
        <v>319</v>
      </c>
      <c r="O313" s="3">
        <f>N313/J313</f>
        <v>45.571428571428569</v>
      </c>
      <c r="P313" s="2">
        <v>1</v>
      </c>
      <c r="Q313" s="2">
        <v>1</v>
      </c>
      <c r="R313" s="2">
        <v>160</v>
      </c>
      <c r="S313" s="2">
        <v>41</v>
      </c>
      <c r="T313" s="2">
        <v>2</v>
      </c>
      <c r="U313" s="2">
        <v>8</v>
      </c>
      <c r="V313" s="2">
        <v>142</v>
      </c>
      <c r="W313" s="3">
        <f>V313/S313</f>
        <v>3.4634146341463414</v>
      </c>
      <c r="X313" s="3">
        <f>V313/U313</f>
        <v>17.75</v>
      </c>
      <c r="Y313" s="4">
        <f>S313*6/U313</f>
        <v>30.75</v>
      </c>
      <c r="Z313" s="2">
        <v>4</v>
      </c>
      <c r="AA313" s="2">
        <v>0</v>
      </c>
      <c r="AB313" s="2">
        <v>0</v>
      </c>
      <c r="AC313" s="2">
        <v>0</v>
      </c>
    </row>
    <row r="314" spans="1:29" x14ac:dyDescent="0.35">
      <c r="A314" s="34" t="s">
        <v>383</v>
      </c>
      <c r="B314" s="34" t="s">
        <v>390</v>
      </c>
      <c r="C314">
        <f>D314+E314+F314+G314+H314+I314</f>
        <v>4</v>
      </c>
      <c r="D314" s="5">
        <v>0</v>
      </c>
      <c r="E314" s="5">
        <v>0</v>
      </c>
      <c r="F314" s="5">
        <v>0</v>
      </c>
      <c r="G314" s="5">
        <v>4</v>
      </c>
      <c r="H314" s="5">
        <v>0</v>
      </c>
      <c r="I314" s="5">
        <v>0</v>
      </c>
      <c r="J314" s="5">
        <v>2</v>
      </c>
      <c r="K314">
        <f>J314+L314</f>
        <v>3</v>
      </c>
      <c r="L314" s="5">
        <v>1</v>
      </c>
      <c r="M314" s="5">
        <v>1</v>
      </c>
      <c r="N314" s="5">
        <v>11</v>
      </c>
      <c r="O314" s="3">
        <f>N314/J314</f>
        <v>5.5</v>
      </c>
      <c r="P314" s="5">
        <v>0</v>
      </c>
      <c r="Q314" s="5">
        <v>0</v>
      </c>
      <c r="R314" s="5">
        <v>9</v>
      </c>
      <c r="S314" s="40">
        <v>11</v>
      </c>
      <c r="T314" s="40">
        <v>1</v>
      </c>
      <c r="U314" s="40">
        <v>5</v>
      </c>
      <c r="V314" s="40">
        <v>45</v>
      </c>
      <c r="W314" s="3">
        <f>V314/S314</f>
        <v>4.0909090909090908</v>
      </c>
      <c r="X314" s="3">
        <f>V314/U314</f>
        <v>9</v>
      </c>
      <c r="Y314" s="4">
        <f>S314*6/U314</f>
        <v>13.2</v>
      </c>
      <c r="Z314" s="40">
        <v>3</v>
      </c>
      <c r="AA314" s="40">
        <v>0</v>
      </c>
      <c r="AB314" s="5">
        <v>0</v>
      </c>
      <c r="AC314" s="5">
        <v>0</v>
      </c>
    </row>
    <row r="315" spans="1:29" x14ac:dyDescent="0.35">
      <c r="A315" s="1" t="s">
        <v>383</v>
      </c>
      <c r="B315" s="1" t="s">
        <v>385</v>
      </c>
      <c r="C315">
        <f>D315+E315+F315+G315+H315+I315</f>
        <v>1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1</v>
      </c>
      <c r="J315" s="2">
        <v>0</v>
      </c>
      <c r="K315">
        <f>J315+L315</f>
        <v>1</v>
      </c>
      <c r="L315" s="2">
        <v>1</v>
      </c>
      <c r="M315" s="2">
        <v>0</v>
      </c>
      <c r="N315" s="2">
        <v>99</v>
      </c>
      <c r="O315" s="3" t="e">
        <f>N315/J315</f>
        <v>#DIV/0!</v>
      </c>
      <c r="P315" s="2">
        <v>1</v>
      </c>
      <c r="Q315" s="2">
        <v>0</v>
      </c>
      <c r="R315" s="2">
        <v>99</v>
      </c>
      <c r="S315" s="2">
        <v>0</v>
      </c>
      <c r="T315" s="2">
        <v>0</v>
      </c>
      <c r="U315" s="2">
        <v>0</v>
      </c>
      <c r="V315" s="2">
        <v>0</v>
      </c>
      <c r="W315" s="3" t="e">
        <f>V315/S315</f>
        <v>#DIV/0!</v>
      </c>
      <c r="X315" s="3" t="e">
        <f>V315/U315</f>
        <v>#DIV/0!</v>
      </c>
      <c r="Y315" s="4" t="e">
        <f>S315*6/U315</f>
        <v>#DIV/0!</v>
      </c>
      <c r="Z315" s="2">
        <v>0</v>
      </c>
      <c r="AA315" s="2">
        <v>0</v>
      </c>
      <c r="AB315" s="2">
        <v>0</v>
      </c>
      <c r="AC315" s="2">
        <v>0</v>
      </c>
    </row>
    <row r="316" spans="1:29" x14ac:dyDescent="0.35">
      <c r="A316" s="1" t="s">
        <v>392</v>
      </c>
      <c r="B316" s="1" t="s">
        <v>16</v>
      </c>
      <c r="C316">
        <f>D316+E316+F316+G316+H316+I316</f>
        <v>1</v>
      </c>
      <c r="D316" s="2">
        <v>0</v>
      </c>
      <c r="E316" s="2">
        <v>0</v>
      </c>
      <c r="F316" s="2">
        <v>1</v>
      </c>
      <c r="G316" s="2">
        <v>0</v>
      </c>
      <c r="H316" s="2">
        <v>0</v>
      </c>
      <c r="I316" s="2">
        <v>0</v>
      </c>
      <c r="J316" s="2">
        <v>0</v>
      </c>
      <c r="K316">
        <f>J316+L316</f>
        <v>1</v>
      </c>
      <c r="L316" s="2">
        <v>1</v>
      </c>
      <c r="M316" s="2">
        <v>0</v>
      </c>
      <c r="N316" s="2">
        <v>0</v>
      </c>
      <c r="O316" s="3" t="e">
        <f>N316/J316</f>
        <v>#DIV/0!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3" t="e">
        <f>V316/S316</f>
        <v>#DIV/0!</v>
      </c>
      <c r="X316" s="3" t="e">
        <f>V316/U316</f>
        <v>#DIV/0!</v>
      </c>
      <c r="Y316" s="4" t="e">
        <f>S316*6/U316</f>
        <v>#DIV/0!</v>
      </c>
      <c r="Z316" s="2">
        <v>0</v>
      </c>
      <c r="AA316" s="2">
        <v>0</v>
      </c>
      <c r="AB316" s="2">
        <v>0</v>
      </c>
      <c r="AC316" s="2">
        <v>0</v>
      </c>
    </row>
    <row r="317" spans="1:29" x14ac:dyDescent="0.35">
      <c r="A317" s="1" t="s">
        <v>393</v>
      </c>
      <c r="B317" s="1" t="s">
        <v>344</v>
      </c>
      <c r="C317">
        <f>D317+E317+F317+G317+H317+I317</f>
        <v>55</v>
      </c>
      <c r="D317" s="2">
        <v>0</v>
      </c>
      <c r="E317" s="2">
        <v>17</v>
      </c>
      <c r="F317" s="2">
        <v>10</v>
      </c>
      <c r="G317" s="2">
        <v>22</v>
      </c>
      <c r="H317" s="2">
        <v>0</v>
      </c>
      <c r="I317" s="2">
        <v>6</v>
      </c>
      <c r="J317" s="2">
        <v>39</v>
      </c>
      <c r="K317">
        <f>J317+L317</f>
        <v>54</v>
      </c>
      <c r="L317" s="2">
        <v>15</v>
      </c>
      <c r="M317" s="2">
        <v>22</v>
      </c>
      <c r="N317" s="2">
        <v>493</v>
      </c>
      <c r="O317" s="3">
        <f>N317/J317</f>
        <v>12.641025641025641</v>
      </c>
      <c r="P317" s="2">
        <v>1</v>
      </c>
      <c r="Q317" s="2">
        <v>0</v>
      </c>
      <c r="R317" s="2">
        <v>68</v>
      </c>
      <c r="S317" s="2">
        <v>752</v>
      </c>
      <c r="T317" s="2">
        <v>172</v>
      </c>
      <c r="U317" s="2">
        <v>86</v>
      </c>
      <c r="V317" s="2">
        <v>2083</v>
      </c>
      <c r="W317" s="3">
        <f>V317/S317</f>
        <v>2.7699468085106385</v>
      </c>
      <c r="X317" s="3">
        <f>V317/U317</f>
        <v>24.220930232558139</v>
      </c>
      <c r="Y317" s="4">
        <f>S317*6/U317</f>
        <v>52.465116279069768</v>
      </c>
      <c r="Z317" s="2">
        <v>5</v>
      </c>
      <c r="AA317" s="2">
        <v>1</v>
      </c>
      <c r="AB317" s="2">
        <v>0</v>
      </c>
      <c r="AC317" s="2">
        <v>22</v>
      </c>
    </row>
    <row r="318" spans="1:29" x14ac:dyDescent="0.35">
      <c r="A318" s="1" t="s">
        <v>394</v>
      </c>
      <c r="B318" s="1" t="s">
        <v>87</v>
      </c>
      <c r="C318">
        <f>D318+E318+F318+G318+H318+I318</f>
        <v>64</v>
      </c>
      <c r="D318" s="2">
        <v>10</v>
      </c>
      <c r="E318" s="2">
        <v>35</v>
      </c>
      <c r="F318" s="2">
        <v>13</v>
      </c>
      <c r="G318" s="2">
        <v>2</v>
      </c>
      <c r="H318" s="2">
        <v>4</v>
      </c>
      <c r="I318" s="2">
        <v>0</v>
      </c>
      <c r="J318" s="2">
        <v>78</v>
      </c>
      <c r="K318">
        <f>J318+L318</f>
        <v>92</v>
      </c>
      <c r="L318" s="2">
        <v>14</v>
      </c>
      <c r="M318" s="2">
        <v>6</v>
      </c>
      <c r="N318" s="2">
        <v>1541</v>
      </c>
      <c r="O318" s="3">
        <f>N318/J318</f>
        <v>19.756410256410255</v>
      </c>
      <c r="P318" s="2">
        <v>4</v>
      </c>
      <c r="Q318" s="2">
        <v>1</v>
      </c>
      <c r="R318" s="2">
        <v>108</v>
      </c>
      <c r="S318" s="2">
        <v>107</v>
      </c>
      <c r="T318" s="2">
        <v>11</v>
      </c>
      <c r="U318" s="2">
        <v>22</v>
      </c>
      <c r="V318" s="2">
        <v>486</v>
      </c>
      <c r="W318" s="3">
        <f>V318/S318</f>
        <v>4.5420560747663554</v>
      </c>
      <c r="X318" s="3">
        <f>V318/U318</f>
        <v>22.09090909090909</v>
      </c>
      <c r="Y318" s="4">
        <f>S318*6/U318</f>
        <v>29.181818181818183</v>
      </c>
      <c r="Z318" s="2">
        <v>4</v>
      </c>
      <c r="AA318" s="2">
        <v>0</v>
      </c>
      <c r="AB318" s="2">
        <v>0</v>
      </c>
      <c r="AC318" s="2">
        <v>39</v>
      </c>
    </row>
    <row r="319" spans="1:29" x14ac:dyDescent="0.35">
      <c r="A319" s="1" t="s">
        <v>394</v>
      </c>
      <c r="B319" s="1" t="s">
        <v>395</v>
      </c>
      <c r="C319">
        <f>D319+E319+F319+G319+H319+I319</f>
        <v>1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1</v>
      </c>
      <c r="J319" s="2">
        <v>1</v>
      </c>
      <c r="K319">
        <f>J319+L319</f>
        <v>1</v>
      </c>
      <c r="L319" s="2">
        <v>0</v>
      </c>
      <c r="M319" s="2">
        <v>0</v>
      </c>
      <c r="N319" s="2">
        <v>29</v>
      </c>
      <c r="O319" s="3">
        <f>N319/J319</f>
        <v>29</v>
      </c>
      <c r="P319" s="2">
        <v>0</v>
      </c>
      <c r="Q319" s="2">
        <v>0</v>
      </c>
      <c r="R319" s="2">
        <v>29</v>
      </c>
      <c r="S319" s="2">
        <v>0</v>
      </c>
      <c r="T319" s="2">
        <v>0</v>
      </c>
      <c r="U319" s="2">
        <v>0</v>
      </c>
      <c r="V319" s="2">
        <v>0</v>
      </c>
      <c r="W319" s="3" t="e">
        <f>V319/S319</f>
        <v>#DIV/0!</v>
      </c>
      <c r="X319" s="3" t="e">
        <f>V319/U319</f>
        <v>#DIV/0!</v>
      </c>
      <c r="Y319" s="4" t="e">
        <f>S319*6/U319</f>
        <v>#DIV/0!</v>
      </c>
      <c r="Z319" s="2">
        <v>0</v>
      </c>
      <c r="AA319" s="2">
        <v>0</v>
      </c>
      <c r="AB319" s="2">
        <v>0</v>
      </c>
      <c r="AC319" s="2">
        <v>0</v>
      </c>
    </row>
    <row r="320" spans="1:29" x14ac:dyDescent="0.35">
      <c r="A320" s="15" t="s">
        <v>396</v>
      </c>
      <c r="B320" s="15" t="s">
        <v>398</v>
      </c>
      <c r="C320" s="18">
        <f>D320+E320+F320+G320+H320+I320</f>
        <v>79</v>
      </c>
      <c r="D320" s="16">
        <v>0</v>
      </c>
      <c r="E320" s="16">
        <v>25</v>
      </c>
      <c r="F320" s="16">
        <v>8</v>
      </c>
      <c r="G320" s="16">
        <v>15</v>
      </c>
      <c r="H320" s="16">
        <v>27</v>
      </c>
      <c r="I320" s="16">
        <v>4</v>
      </c>
      <c r="J320" s="16">
        <v>60</v>
      </c>
      <c r="K320" s="18">
        <f>J320+L320</f>
        <v>76</v>
      </c>
      <c r="L320" s="16">
        <v>16</v>
      </c>
      <c r="M320" s="16">
        <v>18</v>
      </c>
      <c r="N320" s="16">
        <f>685+62</f>
        <v>747</v>
      </c>
      <c r="O320" s="19">
        <f>N320/J320</f>
        <v>12.45</v>
      </c>
      <c r="P320" s="16">
        <v>2</v>
      </c>
      <c r="Q320" s="16">
        <v>0</v>
      </c>
      <c r="R320" s="16" t="s">
        <v>1387</v>
      </c>
      <c r="S320" s="16">
        <v>58.1</v>
      </c>
      <c r="T320" s="16">
        <v>0</v>
      </c>
      <c r="U320" s="16">
        <v>9</v>
      </c>
      <c r="V320" s="16">
        <v>356</v>
      </c>
      <c r="W320" s="19">
        <f>V320/S320</f>
        <v>6.1273666092943202</v>
      </c>
      <c r="X320" s="19">
        <f>V320/U320</f>
        <v>39.555555555555557</v>
      </c>
      <c r="Y320" s="20">
        <f>S320*6/U320</f>
        <v>38.733333333333334</v>
      </c>
      <c r="Z320" s="16">
        <v>2</v>
      </c>
      <c r="AA320" s="16">
        <v>0</v>
      </c>
      <c r="AB320" s="16">
        <v>0</v>
      </c>
      <c r="AC320" s="16">
        <v>14</v>
      </c>
    </row>
    <row r="321" spans="1:29" x14ac:dyDescent="0.35">
      <c r="A321" s="1" t="s">
        <v>396</v>
      </c>
      <c r="B321" s="1" t="s">
        <v>24</v>
      </c>
      <c r="C321">
        <f>D321+E321+F321+G321+H321+I321</f>
        <v>14</v>
      </c>
      <c r="D321" s="2">
        <v>0</v>
      </c>
      <c r="E321" s="2">
        <v>4</v>
      </c>
      <c r="F321" s="2">
        <v>3</v>
      </c>
      <c r="G321" s="2">
        <v>4</v>
      </c>
      <c r="H321" s="2">
        <v>3</v>
      </c>
      <c r="I321" s="2">
        <v>0</v>
      </c>
      <c r="J321" s="2">
        <v>4</v>
      </c>
      <c r="K321">
        <f>J321+L321</f>
        <v>11</v>
      </c>
      <c r="L321" s="2">
        <v>7</v>
      </c>
      <c r="M321" s="2">
        <v>5</v>
      </c>
      <c r="N321" s="2">
        <v>33</v>
      </c>
      <c r="O321" s="3">
        <f>N321/J321</f>
        <v>8.25</v>
      </c>
      <c r="P321" s="2">
        <v>0</v>
      </c>
      <c r="Q321" s="2">
        <v>0</v>
      </c>
      <c r="R321" s="2">
        <v>10</v>
      </c>
      <c r="S321" s="2">
        <v>0</v>
      </c>
      <c r="T321" s="2">
        <v>0</v>
      </c>
      <c r="U321" s="2">
        <v>0</v>
      </c>
      <c r="V321" s="2">
        <v>0</v>
      </c>
      <c r="W321" s="3" t="e">
        <f>V321/S321</f>
        <v>#DIV/0!</v>
      </c>
      <c r="X321" s="3" t="e">
        <f>V321/U321</f>
        <v>#DIV/0!</v>
      </c>
      <c r="Y321" s="4" t="e">
        <f>S321*6/U321</f>
        <v>#DIV/0!</v>
      </c>
      <c r="Z321" s="2">
        <v>0</v>
      </c>
      <c r="AA321" s="2">
        <v>0</v>
      </c>
      <c r="AB321" s="2">
        <v>0</v>
      </c>
      <c r="AC321" s="2">
        <v>1</v>
      </c>
    </row>
    <row r="322" spans="1:29" x14ac:dyDescent="0.35">
      <c r="A322" s="1" t="s">
        <v>396</v>
      </c>
      <c r="B322" s="1" t="s">
        <v>397</v>
      </c>
      <c r="C322">
        <f>D322+E322+F322+G322+H322+I322</f>
        <v>3</v>
      </c>
      <c r="D322" s="2">
        <v>0</v>
      </c>
      <c r="E322" s="2">
        <v>0</v>
      </c>
      <c r="F322" s="2">
        <v>1</v>
      </c>
      <c r="G322" s="2">
        <v>2</v>
      </c>
      <c r="H322" s="2">
        <v>0</v>
      </c>
      <c r="I322" s="2">
        <v>0</v>
      </c>
      <c r="J322" s="2">
        <v>1</v>
      </c>
      <c r="K322">
        <f>J322+L322</f>
        <v>2</v>
      </c>
      <c r="L322" s="2">
        <v>1</v>
      </c>
      <c r="M322" s="2">
        <v>1</v>
      </c>
      <c r="N322" s="2">
        <v>68</v>
      </c>
      <c r="O322" s="3">
        <f>N322/J322</f>
        <v>68</v>
      </c>
      <c r="P322" s="2">
        <v>0</v>
      </c>
      <c r="Q322" s="2">
        <v>0</v>
      </c>
      <c r="R322" s="2">
        <v>38</v>
      </c>
      <c r="S322" s="2">
        <v>13</v>
      </c>
      <c r="T322" s="2">
        <v>0</v>
      </c>
      <c r="U322" s="2">
        <v>4</v>
      </c>
      <c r="V322" s="2">
        <v>49</v>
      </c>
      <c r="W322" s="3">
        <f>V322/S322</f>
        <v>3.7692307692307692</v>
      </c>
      <c r="X322" s="3">
        <f>V322/U322</f>
        <v>12.25</v>
      </c>
      <c r="Y322" s="4">
        <f>S322*6/U322</f>
        <v>19.5</v>
      </c>
      <c r="Z322" s="2">
        <v>2</v>
      </c>
      <c r="AA322" s="2">
        <v>0</v>
      </c>
      <c r="AB322" s="2">
        <v>0</v>
      </c>
      <c r="AC322" s="2">
        <v>0</v>
      </c>
    </row>
    <row r="323" spans="1:29" x14ac:dyDescent="0.35">
      <c r="A323" s="1" t="s">
        <v>396</v>
      </c>
      <c r="B323" s="7" t="s">
        <v>1290</v>
      </c>
      <c r="C323">
        <f>D323+E323+F323+G323+H323+I323</f>
        <v>1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1</v>
      </c>
      <c r="J323" s="5">
        <v>1</v>
      </c>
      <c r="K323">
        <f>J323+L323</f>
        <v>1</v>
      </c>
      <c r="L323" s="5">
        <v>0</v>
      </c>
      <c r="M323" s="5">
        <v>0</v>
      </c>
      <c r="N323" s="5">
        <v>9</v>
      </c>
      <c r="O323" s="43">
        <v>9</v>
      </c>
      <c r="P323" s="5">
        <v>0</v>
      </c>
      <c r="Q323" s="5">
        <v>0</v>
      </c>
      <c r="R323" s="5">
        <v>9</v>
      </c>
      <c r="S323" s="35">
        <v>2</v>
      </c>
      <c r="T323" s="35">
        <v>0</v>
      </c>
      <c r="U323" s="35">
        <v>0</v>
      </c>
      <c r="V323" s="35">
        <v>13</v>
      </c>
      <c r="W323" s="3">
        <f>V323/S323</f>
        <v>6.5</v>
      </c>
      <c r="X323" s="3">
        <v>0</v>
      </c>
      <c r="Y323" s="3">
        <v>0</v>
      </c>
      <c r="Z323" s="35" t="s">
        <v>1285</v>
      </c>
      <c r="AA323" s="45">
        <v>0</v>
      </c>
      <c r="AB323" s="45">
        <v>0</v>
      </c>
      <c r="AC323" s="45">
        <v>0</v>
      </c>
    </row>
    <row r="324" spans="1:29" x14ac:dyDescent="0.35">
      <c r="A324" s="1" t="s">
        <v>399</v>
      </c>
      <c r="B324" s="1" t="s">
        <v>400</v>
      </c>
      <c r="C324">
        <f>D324+E324+F324+G324+H324+I324</f>
        <v>11</v>
      </c>
      <c r="D324" s="2">
        <v>0</v>
      </c>
      <c r="E324" s="2">
        <v>6</v>
      </c>
      <c r="F324" s="2">
        <v>3</v>
      </c>
      <c r="G324" s="2">
        <v>2</v>
      </c>
      <c r="H324" s="2">
        <v>0</v>
      </c>
      <c r="I324" s="2">
        <v>0</v>
      </c>
      <c r="J324" s="2">
        <v>5</v>
      </c>
      <c r="K324">
        <f>J324+L324</f>
        <v>6</v>
      </c>
      <c r="L324" s="2">
        <v>1</v>
      </c>
      <c r="M324" s="2">
        <v>6</v>
      </c>
      <c r="N324" s="2">
        <v>26</v>
      </c>
      <c r="O324" s="3">
        <f>N324/J324</f>
        <v>5.2</v>
      </c>
      <c r="P324" s="2">
        <v>0</v>
      </c>
      <c r="Q324" s="2">
        <v>0</v>
      </c>
      <c r="R324" s="2">
        <v>21</v>
      </c>
      <c r="S324" s="2">
        <v>0</v>
      </c>
      <c r="T324" s="2">
        <v>0</v>
      </c>
      <c r="U324" s="2">
        <v>0</v>
      </c>
      <c r="V324" s="2">
        <v>0</v>
      </c>
      <c r="W324" s="3" t="e">
        <f>V324/S324</f>
        <v>#DIV/0!</v>
      </c>
      <c r="X324" s="3" t="e">
        <f>V324/U324</f>
        <v>#DIV/0!</v>
      </c>
      <c r="Y324" s="4" t="e">
        <f>S324*6/U324</f>
        <v>#DIV/0!</v>
      </c>
      <c r="Z324" s="2">
        <v>0</v>
      </c>
      <c r="AA324" s="2">
        <v>0</v>
      </c>
      <c r="AB324" s="2">
        <v>0</v>
      </c>
      <c r="AC324" s="2">
        <v>8</v>
      </c>
    </row>
    <row r="325" spans="1:29" x14ac:dyDescent="0.35">
      <c r="A325" s="1" t="s">
        <v>401</v>
      </c>
      <c r="B325" s="1" t="s">
        <v>212</v>
      </c>
      <c r="C325">
        <f>D325+E325+F325+G325+H325+I325</f>
        <v>1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1</v>
      </c>
      <c r="J325" s="2">
        <v>1</v>
      </c>
      <c r="K325">
        <f>J325+L325</f>
        <v>1</v>
      </c>
      <c r="L325" s="2">
        <v>0</v>
      </c>
      <c r="M325" s="2">
        <v>0</v>
      </c>
      <c r="N325" s="2">
        <v>10</v>
      </c>
      <c r="O325" s="3">
        <f>N325/J325</f>
        <v>10</v>
      </c>
      <c r="P325" s="2">
        <v>0</v>
      </c>
      <c r="Q325" s="2">
        <v>0</v>
      </c>
      <c r="R325" s="2">
        <v>10</v>
      </c>
      <c r="S325" s="2">
        <v>0</v>
      </c>
      <c r="T325" s="2">
        <v>0</v>
      </c>
      <c r="U325" s="2">
        <v>0</v>
      </c>
      <c r="V325" s="2">
        <v>0</v>
      </c>
      <c r="W325" s="3" t="e">
        <f>V325/S325</f>
        <v>#DIV/0!</v>
      </c>
      <c r="X325" s="3" t="e">
        <f>V325/U325</f>
        <v>#DIV/0!</v>
      </c>
      <c r="Y325" s="4" t="e">
        <f>S325*6/U325</f>
        <v>#DIV/0!</v>
      </c>
      <c r="Z325" s="2">
        <v>0</v>
      </c>
      <c r="AA325" s="2">
        <v>0</v>
      </c>
      <c r="AB325" s="2">
        <v>0</v>
      </c>
      <c r="AC325" s="2">
        <v>0</v>
      </c>
    </row>
    <row r="326" spans="1:29" x14ac:dyDescent="0.35">
      <c r="A326" s="1" t="s">
        <v>402</v>
      </c>
      <c r="B326" s="1" t="s">
        <v>24</v>
      </c>
      <c r="C326">
        <f>D326+E326+F326+G326+H326+I326</f>
        <v>163</v>
      </c>
      <c r="D326" s="2">
        <v>162</v>
      </c>
      <c r="E326" s="2">
        <v>0</v>
      </c>
      <c r="F326" s="2">
        <v>0</v>
      </c>
      <c r="G326" s="2">
        <v>0</v>
      </c>
      <c r="H326" s="2">
        <v>1</v>
      </c>
      <c r="I326" s="2">
        <v>0</v>
      </c>
      <c r="J326" s="2">
        <v>142</v>
      </c>
      <c r="K326">
        <f>J326+L326</f>
        <v>161</v>
      </c>
      <c r="L326" s="2">
        <v>19</v>
      </c>
      <c r="M326" s="2">
        <v>5</v>
      </c>
      <c r="N326" s="2">
        <v>5074</v>
      </c>
      <c r="O326" s="3">
        <f>N326/J326</f>
        <v>35.732394366197184</v>
      </c>
      <c r="P326" s="2">
        <v>33</v>
      </c>
      <c r="Q326" s="2">
        <v>5</v>
      </c>
      <c r="R326" s="2">
        <v>173</v>
      </c>
      <c r="S326" s="2">
        <v>154</v>
      </c>
      <c r="T326" s="2">
        <v>36</v>
      </c>
      <c r="U326" s="2">
        <v>22</v>
      </c>
      <c r="V326" s="2">
        <v>476</v>
      </c>
      <c r="W326" s="3">
        <f>V326/S326</f>
        <v>3.0909090909090908</v>
      </c>
      <c r="X326" s="3">
        <f>V326/U326</f>
        <v>21.636363636363637</v>
      </c>
      <c r="Y326" s="4">
        <f>S326*6/U326</f>
        <v>42</v>
      </c>
      <c r="Z326" s="2">
        <v>4</v>
      </c>
      <c r="AA326" s="2">
        <v>0</v>
      </c>
      <c r="AB326" s="2">
        <v>0</v>
      </c>
      <c r="AC326" s="2">
        <v>72</v>
      </c>
    </row>
    <row r="327" spans="1:29" x14ac:dyDescent="0.35">
      <c r="A327" s="1" t="s">
        <v>402</v>
      </c>
      <c r="B327" s="1" t="s">
        <v>204</v>
      </c>
      <c r="C327">
        <f>D327+E327+F327+G327+H327+I327</f>
        <v>77</v>
      </c>
      <c r="D327" s="2">
        <v>33</v>
      </c>
      <c r="E327" s="2">
        <v>26</v>
      </c>
      <c r="F327" s="2">
        <v>0</v>
      </c>
      <c r="G327" s="2">
        <v>9</v>
      </c>
      <c r="H327" s="2">
        <v>0</v>
      </c>
      <c r="I327" s="2">
        <v>9</v>
      </c>
      <c r="J327" s="2">
        <v>35</v>
      </c>
      <c r="K327">
        <f>J327+L327</f>
        <v>49</v>
      </c>
      <c r="L327" s="2">
        <v>14</v>
      </c>
      <c r="M327" s="2">
        <v>31</v>
      </c>
      <c r="N327" s="2">
        <v>307</v>
      </c>
      <c r="O327" s="3">
        <f>N327/J327</f>
        <v>8.7714285714285722</v>
      </c>
      <c r="P327" s="2">
        <v>0</v>
      </c>
      <c r="Q327" s="2">
        <v>0</v>
      </c>
      <c r="R327" s="2">
        <v>35</v>
      </c>
      <c r="S327" s="2">
        <v>622</v>
      </c>
      <c r="T327" s="2">
        <v>160</v>
      </c>
      <c r="U327" s="2">
        <v>96</v>
      </c>
      <c r="V327" s="2">
        <v>1563</v>
      </c>
      <c r="W327" s="3">
        <f>V327/S327</f>
        <v>2.512861736334405</v>
      </c>
      <c r="X327" s="3">
        <f>V327/U327</f>
        <v>16.28125</v>
      </c>
      <c r="Y327" s="4">
        <f>S327*6/U327</f>
        <v>38.875</v>
      </c>
      <c r="Z327" s="2">
        <v>6</v>
      </c>
      <c r="AA327" s="2">
        <v>4</v>
      </c>
      <c r="AB327" s="2">
        <v>0</v>
      </c>
      <c r="AC327" s="2">
        <v>23</v>
      </c>
    </row>
    <row r="328" spans="1:29" x14ac:dyDescent="0.35">
      <c r="A328" s="1" t="s">
        <v>206</v>
      </c>
      <c r="B328" s="1" t="s">
        <v>110</v>
      </c>
      <c r="C328">
        <f>D328+E328+F328+G328+H328+I328</f>
        <v>17</v>
      </c>
      <c r="D328" s="2">
        <v>0</v>
      </c>
      <c r="E328" s="2">
        <v>0</v>
      </c>
      <c r="F328" s="2">
        <v>1</v>
      </c>
      <c r="G328" s="2">
        <v>8</v>
      </c>
      <c r="H328" s="2">
        <v>7</v>
      </c>
      <c r="I328" s="2">
        <v>1</v>
      </c>
      <c r="J328" s="2">
        <v>12</v>
      </c>
      <c r="K328">
        <f>J328+L328</f>
        <v>14</v>
      </c>
      <c r="L328" s="2">
        <v>2</v>
      </c>
      <c r="M328" s="2">
        <v>3</v>
      </c>
      <c r="N328" s="2">
        <v>123</v>
      </c>
      <c r="O328" s="3">
        <f>N328/J328</f>
        <v>10.25</v>
      </c>
      <c r="P328" s="2">
        <v>1</v>
      </c>
      <c r="Q328" s="2">
        <v>0</v>
      </c>
      <c r="R328" s="2">
        <v>52</v>
      </c>
      <c r="S328" s="2">
        <v>40</v>
      </c>
      <c r="T328" s="2">
        <v>6</v>
      </c>
      <c r="U328" s="2">
        <v>4</v>
      </c>
      <c r="V328" s="2">
        <v>96</v>
      </c>
      <c r="W328" s="3">
        <f>V328/S328</f>
        <v>2.4</v>
      </c>
      <c r="X328" s="3">
        <f>V328/U328</f>
        <v>24</v>
      </c>
      <c r="Y328" s="4">
        <f>S328*6/U328</f>
        <v>60</v>
      </c>
      <c r="Z328" s="2">
        <v>2</v>
      </c>
      <c r="AA328" s="2">
        <v>0</v>
      </c>
      <c r="AB328" s="2">
        <v>0</v>
      </c>
      <c r="AC328" s="2">
        <v>9</v>
      </c>
    </row>
    <row r="329" spans="1:29" x14ac:dyDescent="0.35">
      <c r="A329" s="1" t="s">
        <v>206</v>
      </c>
      <c r="B329" s="1" t="s">
        <v>24</v>
      </c>
      <c r="C329">
        <f>D329+E329+F329+G329+H329+I329</f>
        <v>9</v>
      </c>
      <c r="D329" s="2">
        <v>0</v>
      </c>
      <c r="E329" s="2">
        <v>0</v>
      </c>
      <c r="F329" s="2">
        <v>0</v>
      </c>
      <c r="G329" s="2">
        <v>3</v>
      </c>
      <c r="H329" s="2">
        <v>4</v>
      </c>
      <c r="I329" s="2">
        <v>2</v>
      </c>
      <c r="J329" s="2">
        <v>6</v>
      </c>
      <c r="K329">
        <f>J329+L329</f>
        <v>9</v>
      </c>
      <c r="L329" s="2">
        <v>3</v>
      </c>
      <c r="M329" s="2">
        <v>0</v>
      </c>
      <c r="N329" s="2">
        <v>144</v>
      </c>
      <c r="O329" s="3">
        <f>N329/J329</f>
        <v>24</v>
      </c>
      <c r="P329" s="2">
        <v>1</v>
      </c>
      <c r="Q329" s="2">
        <v>0</v>
      </c>
      <c r="R329" s="2">
        <v>73</v>
      </c>
      <c r="S329" s="2">
        <v>16</v>
      </c>
      <c r="T329" s="2">
        <v>2</v>
      </c>
      <c r="U329" s="2">
        <v>0</v>
      </c>
      <c r="V329" s="2">
        <v>56</v>
      </c>
      <c r="W329" s="3">
        <f>V329/S329</f>
        <v>3.5</v>
      </c>
      <c r="X329" s="3" t="e">
        <f>V329/U329</f>
        <v>#DIV/0!</v>
      </c>
      <c r="Y329" s="4" t="e">
        <f>S329*6/U329</f>
        <v>#DIV/0!</v>
      </c>
      <c r="Z329" s="2">
        <v>0</v>
      </c>
      <c r="AA329" s="2">
        <v>0</v>
      </c>
      <c r="AB329" s="2">
        <v>0</v>
      </c>
      <c r="AC329" s="2">
        <v>5</v>
      </c>
    </row>
    <row r="330" spans="1:29" x14ac:dyDescent="0.35">
      <c r="A330" s="1" t="s">
        <v>206</v>
      </c>
      <c r="B330" s="1" t="s">
        <v>196</v>
      </c>
      <c r="C330">
        <f>D330+E330+F330+G330+H330+I330</f>
        <v>1</v>
      </c>
      <c r="D330" s="2">
        <v>0</v>
      </c>
      <c r="E330" s="2">
        <v>0</v>
      </c>
      <c r="F330" s="2">
        <v>1</v>
      </c>
      <c r="G330" s="2">
        <v>0</v>
      </c>
      <c r="H330" s="2">
        <v>0</v>
      </c>
      <c r="I330" s="2">
        <v>0</v>
      </c>
      <c r="J330" s="2">
        <v>2</v>
      </c>
      <c r="K330">
        <f>J330+L330</f>
        <v>2</v>
      </c>
      <c r="L330" s="2">
        <v>0</v>
      </c>
      <c r="M330" s="2">
        <v>0</v>
      </c>
      <c r="N330" s="2">
        <v>17</v>
      </c>
      <c r="O330" s="3">
        <f>N330/J330</f>
        <v>8.5</v>
      </c>
      <c r="P330" s="2">
        <v>0</v>
      </c>
      <c r="Q330" s="2">
        <v>0</v>
      </c>
      <c r="R330" s="2">
        <v>10</v>
      </c>
      <c r="S330" s="2">
        <v>3</v>
      </c>
      <c r="T330" s="2">
        <v>0</v>
      </c>
      <c r="U330" s="2">
        <v>0</v>
      </c>
      <c r="V330" s="2">
        <v>25</v>
      </c>
      <c r="W330" s="3">
        <f>V330/S330</f>
        <v>8.3333333333333339</v>
      </c>
      <c r="X330" s="3" t="e">
        <f>V330/U330</f>
        <v>#DIV/0!</v>
      </c>
      <c r="Y330" s="4" t="e">
        <f>S330*6/U330</f>
        <v>#DIV/0!</v>
      </c>
      <c r="Z330" s="2">
        <v>0</v>
      </c>
      <c r="AA330" s="2">
        <v>0</v>
      </c>
      <c r="AB330" s="2">
        <v>0</v>
      </c>
      <c r="AC330" s="2">
        <v>0</v>
      </c>
    </row>
    <row r="331" spans="1:29" x14ac:dyDescent="0.35">
      <c r="A331" s="1" t="s">
        <v>403</v>
      </c>
      <c r="B331" s="1" t="s">
        <v>404</v>
      </c>
      <c r="C331">
        <f>D331+E331+F331+G331+H331+I331</f>
        <v>1</v>
      </c>
      <c r="D331" s="2">
        <v>0</v>
      </c>
      <c r="E331" s="2">
        <v>0</v>
      </c>
      <c r="F331" s="2">
        <v>1</v>
      </c>
      <c r="G331" s="2">
        <v>0</v>
      </c>
      <c r="H331" s="2">
        <v>0</v>
      </c>
      <c r="I331" s="2">
        <v>0</v>
      </c>
      <c r="J331" s="2">
        <v>1</v>
      </c>
      <c r="K331" s="35">
        <f>J331+L331</f>
        <v>1</v>
      </c>
      <c r="L331" s="2">
        <v>0</v>
      </c>
      <c r="M331" s="2">
        <v>0</v>
      </c>
      <c r="N331" s="2">
        <v>11</v>
      </c>
      <c r="O331" s="3">
        <f>N331/J331</f>
        <v>11</v>
      </c>
      <c r="P331" s="2">
        <v>0</v>
      </c>
      <c r="Q331" s="2">
        <v>0</v>
      </c>
      <c r="R331" s="2">
        <v>11</v>
      </c>
      <c r="S331" s="2">
        <v>0</v>
      </c>
      <c r="T331" s="2">
        <v>0</v>
      </c>
      <c r="U331" s="2">
        <v>0</v>
      </c>
      <c r="V331" s="2">
        <v>0</v>
      </c>
      <c r="W331" s="3" t="e">
        <f>V331/S331</f>
        <v>#DIV/0!</v>
      </c>
      <c r="X331" s="3" t="e">
        <f>V331/U331</f>
        <v>#DIV/0!</v>
      </c>
      <c r="Y331" s="4" t="e">
        <f>S331*6/U331</f>
        <v>#DIV/0!</v>
      </c>
      <c r="Z331" s="2">
        <v>0</v>
      </c>
      <c r="AA331" s="2">
        <v>0</v>
      </c>
      <c r="AB331" s="2">
        <v>0</v>
      </c>
      <c r="AC331" s="2">
        <v>2</v>
      </c>
    </row>
    <row r="332" spans="1:29" x14ac:dyDescent="0.35">
      <c r="A332" s="1" t="s">
        <v>405</v>
      </c>
      <c r="B332" s="1" t="s">
        <v>406</v>
      </c>
      <c r="C332">
        <f>D332+E332+F332+G332+H332+I332</f>
        <v>1</v>
      </c>
      <c r="D332" s="2">
        <v>0</v>
      </c>
      <c r="E332" s="2">
        <v>0</v>
      </c>
      <c r="F332" s="2">
        <v>0</v>
      </c>
      <c r="G332" s="2">
        <v>0</v>
      </c>
      <c r="H332" s="2">
        <v>1</v>
      </c>
      <c r="I332" s="2">
        <v>0</v>
      </c>
      <c r="J332" s="2">
        <v>0</v>
      </c>
      <c r="K332">
        <f>J332+L332</f>
        <v>1</v>
      </c>
      <c r="L332" s="2">
        <v>1</v>
      </c>
      <c r="M332" s="2">
        <v>0</v>
      </c>
      <c r="N332" s="2">
        <v>0</v>
      </c>
      <c r="O332" s="3" t="e">
        <f>N332/J332</f>
        <v>#DIV/0!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3" t="e">
        <f>V332/S332</f>
        <v>#DIV/0!</v>
      </c>
      <c r="X332" s="3" t="e">
        <f>V332/U332</f>
        <v>#DIV/0!</v>
      </c>
      <c r="Y332" s="4" t="e">
        <f>S332*6/U332</f>
        <v>#DIV/0!</v>
      </c>
      <c r="Z332" s="2">
        <v>0</v>
      </c>
      <c r="AA332" s="2">
        <v>0</v>
      </c>
      <c r="AB332" s="2">
        <v>0</v>
      </c>
      <c r="AC332" s="2">
        <v>1</v>
      </c>
    </row>
    <row r="333" spans="1:29" x14ac:dyDescent="0.35">
      <c r="A333" s="1" t="s">
        <v>405</v>
      </c>
      <c r="B333" s="1" t="s">
        <v>407</v>
      </c>
      <c r="C333">
        <f>D333+E333+F333+G333+H333+I333</f>
        <v>1</v>
      </c>
      <c r="D333" s="2">
        <v>0</v>
      </c>
      <c r="E333" s="2">
        <v>0</v>
      </c>
      <c r="F333" s="2">
        <v>0</v>
      </c>
      <c r="G333" s="2">
        <v>0</v>
      </c>
      <c r="H333" s="2">
        <v>1</v>
      </c>
      <c r="I333" s="2">
        <v>0</v>
      </c>
      <c r="J333" s="2">
        <v>1</v>
      </c>
      <c r="K333">
        <f>J333+L333</f>
        <v>1</v>
      </c>
      <c r="L333" s="2">
        <v>0</v>
      </c>
      <c r="M333" s="2">
        <v>0</v>
      </c>
      <c r="N333" s="2">
        <v>2</v>
      </c>
      <c r="O333" s="3">
        <f>N333/J333</f>
        <v>2</v>
      </c>
      <c r="P333" s="2">
        <v>0</v>
      </c>
      <c r="Q333" s="2">
        <v>0</v>
      </c>
      <c r="R333" s="2">
        <v>2</v>
      </c>
      <c r="S333" s="2">
        <v>3</v>
      </c>
      <c r="T333" s="2">
        <v>0</v>
      </c>
      <c r="U333" s="2">
        <v>0</v>
      </c>
      <c r="V333" s="2">
        <v>13</v>
      </c>
      <c r="W333" s="3">
        <f>V333/S333</f>
        <v>4.333333333333333</v>
      </c>
      <c r="X333" s="3" t="e">
        <f>V333/U333</f>
        <v>#DIV/0!</v>
      </c>
      <c r="Y333" s="4" t="e">
        <f>S333*6/U333</f>
        <v>#DIV/0!</v>
      </c>
      <c r="Z333" s="2">
        <v>0</v>
      </c>
      <c r="AA333" s="2">
        <v>0</v>
      </c>
      <c r="AB333" s="2">
        <v>0</v>
      </c>
      <c r="AC333" s="2">
        <v>0</v>
      </c>
    </row>
    <row r="334" spans="1:29" x14ac:dyDescent="0.35">
      <c r="A334" s="1" t="s">
        <v>408</v>
      </c>
      <c r="B334" s="1" t="s">
        <v>409</v>
      </c>
      <c r="C334">
        <f>D334+E334+F334+G334+H334+I334</f>
        <v>8</v>
      </c>
      <c r="D334" s="2">
        <v>2</v>
      </c>
      <c r="E334" s="2">
        <v>2</v>
      </c>
      <c r="F334" s="2">
        <v>4</v>
      </c>
      <c r="G334" s="2">
        <v>0</v>
      </c>
      <c r="H334" s="2">
        <v>0</v>
      </c>
      <c r="I334" s="2">
        <v>0</v>
      </c>
      <c r="J334" s="2">
        <v>9</v>
      </c>
      <c r="K334">
        <f>J334+L334</f>
        <v>10</v>
      </c>
      <c r="L334" s="2">
        <v>1</v>
      </c>
      <c r="M334" s="2">
        <v>0</v>
      </c>
      <c r="N334" s="2">
        <v>78</v>
      </c>
      <c r="O334" s="3">
        <f>N334/J334</f>
        <v>8.6666666666666661</v>
      </c>
      <c r="P334" s="2">
        <v>0</v>
      </c>
      <c r="Q334" s="2">
        <v>0</v>
      </c>
      <c r="R334" s="2">
        <v>18</v>
      </c>
      <c r="S334" s="2">
        <v>0</v>
      </c>
      <c r="T334" s="2">
        <v>0</v>
      </c>
      <c r="U334" s="2">
        <v>0</v>
      </c>
      <c r="V334" s="2">
        <v>0</v>
      </c>
      <c r="W334" s="3" t="e">
        <f>V334/S334</f>
        <v>#DIV/0!</v>
      </c>
      <c r="X334" s="3" t="e">
        <f>V334/U334</f>
        <v>#DIV/0!</v>
      </c>
      <c r="Y334" s="4" t="e">
        <f>S334*6/U334</f>
        <v>#DIV/0!</v>
      </c>
      <c r="Z334" s="2">
        <v>0</v>
      </c>
      <c r="AA334" s="2">
        <v>0</v>
      </c>
      <c r="AB334" s="2">
        <v>0</v>
      </c>
      <c r="AC334" s="2">
        <v>4</v>
      </c>
    </row>
    <row r="335" spans="1:29" x14ac:dyDescent="0.35">
      <c r="A335" s="1" t="s">
        <v>410</v>
      </c>
      <c r="B335" s="1" t="s">
        <v>110</v>
      </c>
      <c r="C335">
        <f>D335+E335+F335+G335+H335+I335</f>
        <v>12</v>
      </c>
      <c r="D335" s="2">
        <v>0</v>
      </c>
      <c r="E335" s="2">
        <v>0</v>
      </c>
      <c r="F335" s="2">
        <v>9</v>
      </c>
      <c r="G335" s="2">
        <v>3</v>
      </c>
      <c r="H335" s="2">
        <v>0</v>
      </c>
      <c r="I335" s="2">
        <v>0</v>
      </c>
      <c r="J335" s="2">
        <v>8</v>
      </c>
      <c r="K335">
        <f>J335+L335</f>
        <v>10</v>
      </c>
      <c r="L335" s="2">
        <v>2</v>
      </c>
      <c r="M335" s="2">
        <v>2</v>
      </c>
      <c r="N335" s="2">
        <v>90</v>
      </c>
      <c r="O335" s="3">
        <f>N335/J335</f>
        <v>11.25</v>
      </c>
      <c r="P335" s="2">
        <v>1</v>
      </c>
      <c r="Q335" s="2">
        <v>0</v>
      </c>
      <c r="R335" s="2">
        <v>61</v>
      </c>
      <c r="S335" s="2">
        <v>0</v>
      </c>
      <c r="T335" s="2">
        <v>0</v>
      </c>
      <c r="U335" s="2">
        <v>0</v>
      </c>
      <c r="V335" s="2">
        <v>0</v>
      </c>
      <c r="W335" s="3" t="e">
        <f>V335/S335</f>
        <v>#DIV/0!</v>
      </c>
      <c r="X335" s="3" t="e">
        <f>V335/U335</f>
        <v>#DIV/0!</v>
      </c>
      <c r="Y335" s="4" t="e">
        <f>S335*6/U335</f>
        <v>#DIV/0!</v>
      </c>
      <c r="Z335" s="2">
        <v>0</v>
      </c>
      <c r="AA335" s="2">
        <v>0</v>
      </c>
      <c r="AB335" s="2">
        <v>0</v>
      </c>
      <c r="AC335" s="2">
        <v>21</v>
      </c>
    </row>
    <row r="336" spans="1:29" x14ac:dyDescent="0.35">
      <c r="A336" s="1" t="s">
        <v>411</v>
      </c>
      <c r="B336" s="1" t="s">
        <v>342</v>
      </c>
      <c r="C336">
        <f>D336+E336+F336+G336+H336+I336</f>
        <v>13</v>
      </c>
      <c r="D336" s="2">
        <v>10</v>
      </c>
      <c r="E336" s="2">
        <v>1</v>
      </c>
      <c r="F336" s="2">
        <v>0</v>
      </c>
      <c r="G336" s="2">
        <v>0</v>
      </c>
      <c r="H336" s="2">
        <v>0</v>
      </c>
      <c r="I336" s="2">
        <v>2</v>
      </c>
      <c r="J336" s="2">
        <v>9</v>
      </c>
      <c r="K336">
        <f>J336+L336</f>
        <v>11</v>
      </c>
      <c r="L336" s="2">
        <v>2</v>
      </c>
      <c r="M336" s="2">
        <v>4</v>
      </c>
      <c r="N336" s="2">
        <v>88</v>
      </c>
      <c r="O336" s="3">
        <f>N336/J336</f>
        <v>9.7777777777777786</v>
      </c>
      <c r="P336" s="2">
        <v>0</v>
      </c>
      <c r="Q336" s="2">
        <v>0</v>
      </c>
      <c r="R336" s="2">
        <v>44</v>
      </c>
      <c r="S336" s="2">
        <v>159</v>
      </c>
      <c r="T336" s="2">
        <v>36</v>
      </c>
      <c r="U336" s="2">
        <v>19</v>
      </c>
      <c r="V336" s="2">
        <v>473</v>
      </c>
      <c r="W336" s="3">
        <f>V336/S336</f>
        <v>2.9748427672955975</v>
      </c>
      <c r="X336" s="3">
        <f>V336/U336</f>
        <v>24.894736842105264</v>
      </c>
      <c r="Y336" s="4">
        <f>S336*6/U336</f>
        <v>50.210526315789473</v>
      </c>
      <c r="Z336" s="2">
        <v>6</v>
      </c>
      <c r="AA336" s="2">
        <v>1</v>
      </c>
      <c r="AB336" s="2">
        <v>0</v>
      </c>
      <c r="AC336" s="2">
        <v>2</v>
      </c>
    </row>
    <row r="337" spans="1:29" x14ac:dyDescent="0.35">
      <c r="A337" s="1" t="s">
        <v>412</v>
      </c>
      <c r="B337" s="1" t="s">
        <v>413</v>
      </c>
      <c r="C337">
        <f>D337+E337+F337+G337+H337+I337</f>
        <v>14</v>
      </c>
      <c r="D337" s="2">
        <v>0</v>
      </c>
      <c r="E337" s="2">
        <v>0</v>
      </c>
      <c r="F337" s="2">
        <v>3</v>
      </c>
      <c r="G337" s="2">
        <v>10</v>
      </c>
      <c r="H337" s="2">
        <v>1</v>
      </c>
      <c r="I337" s="2">
        <v>0</v>
      </c>
      <c r="J337" s="2">
        <v>3</v>
      </c>
      <c r="K337">
        <f>J337+L337</f>
        <v>6</v>
      </c>
      <c r="L337" s="2">
        <v>3</v>
      </c>
      <c r="M337" s="2">
        <v>7</v>
      </c>
      <c r="N337" s="2">
        <v>47</v>
      </c>
      <c r="O337" s="3">
        <f>N337/J337</f>
        <v>15.666666666666666</v>
      </c>
      <c r="P337" s="2">
        <v>0</v>
      </c>
      <c r="Q337" s="2">
        <v>0</v>
      </c>
      <c r="R337" s="2">
        <v>22</v>
      </c>
      <c r="S337" s="2">
        <v>8</v>
      </c>
      <c r="T337" s="2">
        <v>0</v>
      </c>
      <c r="U337" s="2">
        <v>3</v>
      </c>
      <c r="V337" s="2">
        <v>38</v>
      </c>
      <c r="W337" s="3">
        <f>V337/S337</f>
        <v>4.75</v>
      </c>
      <c r="X337" s="3">
        <f>V337/U337</f>
        <v>12.666666666666666</v>
      </c>
      <c r="Y337" s="4">
        <f>S337*6/U337</f>
        <v>16</v>
      </c>
      <c r="Z337" s="2">
        <v>2</v>
      </c>
      <c r="AA337" s="2">
        <v>0</v>
      </c>
      <c r="AB337" s="2">
        <v>0</v>
      </c>
      <c r="AC337" s="2">
        <v>0</v>
      </c>
    </row>
    <row r="338" spans="1:29" x14ac:dyDescent="0.35">
      <c r="A338" s="1" t="s">
        <v>414</v>
      </c>
      <c r="B338" s="1" t="s">
        <v>353</v>
      </c>
      <c r="C338">
        <f>D338+E338+F338+G338+H338+I338</f>
        <v>1</v>
      </c>
      <c r="D338" s="2">
        <v>0</v>
      </c>
      <c r="E338" s="2">
        <v>0</v>
      </c>
      <c r="F338" s="2">
        <v>0</v>
      </c>
      <c r="G338" s="2">
        <v>1</v>
      </c>
      <c r="H338" s="2">
        <v>0</v>
      </c>
      <c r="I338" s="2">
        <v>0</v>
      </c>
      <c r="J338" s="2">
        <v>0</v>
      </c>
      <c r="K338">
        <f>J338+L338</f>
        <v>1</v>
      </c>
      <c r="L338" s="2">
        <v>1</v>
      </c>
      <c r="M338" s="2">
        <v>0</v>
      </c>
      <c r="N338" s="2">
        <v>7</v>
      </c>
      <c r="O338" s="3" t="e">
        <f>N338/J338</f>
        <v>#DIV/0!</v>
      </c>
      <c r="P338" s="2">
        <v>0</v>
      </c>
      <c r="Q338" s="2">
        <v>0</v>
      </c>
      <c r="R338" s="2">
        <v>7</v>
      </c>
      <c r="S338" s="2">
        <v>14</v>
      </c>
      <c r="T338" s="2">
        <v>2</v>
      </c>
      <c r="U338" s="2">
        <v>2</v>
      </c>
      <c r="V338" s="2">
        <v>29</v>
      </c>
      <c r="W338" s="3">
        <f>V338/S338</f>
        <v>2.0714285714285716</v>
      </c>
      <c r="X338" s="3">
        <f>V338/U338</f>
        <v>14.5</v>
      </c>
      <c r="Y338" s="4">
        <f>S338*6/U338</f>
        <v>42</v>
      </c>
      <c r="Z338" s="2">
        <v>2</v>
      </c>
      <c r="AA338" s="2">
        <v>0</v>
      </c>
      <c r="AB338" s="2">
        <v>0</v>
      </c>
      <c r="AC338" s="2">
        <v>1</v>
      </c>
    </row>
    <row r="339" spans="1:29" x14ac:dyDescent="0.35">
      <c r="A339" s="1" t="s">
        <v>415</v>
      </c>
      <c r="B339" s="1" t="s">
        <v>146</v>
      </c>
      <c r="C339">
        <f>D339+E339+F339+G339+H339+I339</f>
        <v>25</v>
      </c>
      <c r="D339" s="2">
        <v>0</v>
      </c>
      <c r="E339" s="2">
        <v>0</v>
      </c>
      <c r="F339" s="2">
        <v>2</v>
      </c>
      <c r="G339" s="2">
        <v>7</v>
      </c>
      <c r="H339" s="2">
        <v>16</v>
      </c>
      <c r="I339" s="2">
        <v>0</v>
      </c>
      <c r="J339" s="2">
        <v>15</v>
      </c>
      <c r="K339">
        <f>J339+L339</f>
        <v>19</v>
      </c>
      <c r="L339" s="2">
        <v>4</v>
      </c>
      <c r="M339" s="2">
        <v>10</v>
      </c>
      <c r="N339" s="2">
        <v>66</v>
      </c>
      <c r="O339" s="3">
        <f>N339/J339</f>
        <v>4.4000000000000004</v>
      </c>
      <c r="P339" s="2">
        <v>0</v>
      </c>
      <c r="Q339" s="2">
        <v>0</v>
      </c>
      <c r="R339" s="2">
        <v>19</v>
      </c>
      <c r="S339" s="2">
        <v>3</v>
      </c>
      <c r="T339" s="2">
        <v>0</v>
      </c>
      <c r="U339" s="2">
        <v>0</v>
      </c>
      <c r="V339" s="2">
        <v>18</v>
      </c>
      <c r="W339" s="3">
        <f>V339/S339</f>
        <v>6</v>
      </c>
      <c r="X339" s="3" t="e">
        <f>V339/U339</f>
        <v>#DIV/0!</v>
      </c>
      <c r="Y339" s="4" t="e">
        <f>S339*6/U339</f>
        <v>#DIV/0!</v>
      </c>
      <c r="Z339" s="2">
        <v>0</v>
      </c>
      <c r="AA339" s="2">
        <v>0</v>
      </c>
      <c r="AB339" s="2">
        <v>0</v>
      </c>
      <c r="AC339" s="2">
        <v>18</v>
      </c>
    </row>
    <row r="340" spans="1:29" x14ac:dyDescent="0.35">
      <c r="A340" s="1" t="s">
        <v>416</v>
      </c>
      <c r="B340" s="1" t="s">
        <v>417</v>
      </c>
      <c r="C340">
        <f>D340+E340+F340+G340+H340+I340</f>
        <v>25</v>
      </c>
      <c r="D340" s="2">
        <v>0</v>
      </c>
      <c r="E340" s="2">
        <v>10</v>
      </c>
      <c r="F340" s="2">
        <v>2</v>
      </c>
      <c r="G340" s="2">
        <v>13</v>
      </c>
      <c r="H340" s="2">
        <v>0</v>
      </c>
      <c r="I340" s="2">
        <v>0</v>
      </c>
      <c r="J340" s="2">
        <v>17</v>
      </c>
      <c r="K340">
        <f>J340+L340</f>
        <v>25</v>
      </c>
      <c r="L340" s="2">
        <v>8</v>
      </c>
      <c r="M340" s="2">
        <v>9</v>
      </c>
      <c r="N340" s="2">
        <v>149</v>
      </c>
      <c r="O340" s="3">
        <f>N340/J340</f>
        <v>8.764705882352942</v>
      </c>
      <c r="P340" s="2">
        <v>0</v>
      </c>
      <c r="Q340" s="2">
        <v>0</v>
      </c>
      <c r="R340" s="2">
        <v>24</v>
      </c>
      <c r="S340" s="2">
        <v>209</v>
      </c>
      <c r="T340" s="2">
        <v>26</v>
      </c>
      <c r="U340" s="2">
        <v>30</v>
      </c>
      <c r="V340" s="2">
        <v>757</v>
      </c>
      <c r="W340" s="3">
        <f>V340/S340</f>
        <v>3.6220095693779903</v>
      </c>
      <c r="X340" s="3">
        <f>V340/U340</f>
        <v>25.233333333333334</v>
      </c>
      <c r="Y340" s="4">
        <f>S340*6/U340</f>
        <v>41.8</v>
      </c>
      <c r="Z340" s="2">
        <v>3</v>
      </c>
      <c r="AA340" s="2">
        <v>0</v>
      </c>
      <c r="AB340" s="2">
        <v>0</v>
      </c>
      <c r="AC340" s="2">
        <v>2</v>
      </c>
    </row>
    <row r="341" spans="1:29" x14ac:dyDescent="0.35">
      <c r="A341" s="1" t="s">
        <v>418</v>
      </c>
      <c r="B341" s="1" t="s">
        <v>377</v>
      </c>
      <c r="C341">
        <f>D341+E341+F341+G341+H341+I341</f>
        <v>2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2</v>
      </c>
      <c r="J341" s="2">
        <v>1</v>
      </c>
      <c r="K341">
        <f>J341+L341</f>
        <v>1</v>
      </c>
      <c r="L341" s="2">
        <v>0</v>
      </c>
      <c r="M341" s="2">
        <v>1</v>
      </c>
      <c r="N341" s="2">
        <v>28</v>
      </c>
      <c r="O341" s="3">
        <f>N341/J341</f>
        <v>28</v>
      </c>
      <c r="P341" s="2">
        <v>0</v>
      </c>
      <c r="Q341" s="2">
        <v>0</v>
      </c>
      <c r="R341" s="2">
        <v>28</v>
      </c>
      <c r="S341" s="2">
        <v>0</v>
      </c>
      <c r="T341" s="2">
        <v>0</v>
      </c>
      <c r="U341" s="2">
        <v>0</v>
      </c>
      <c r="V341" s="2">
        <v>0</v>
      </c>
      <c r="W341" s="3" t="e">
        <f>V341/S341</f>
        <v>#DIV/0!</v>
      </c>
      <c r="X341" s="3" t="e">
        <f>V341/U341</f>
        <v>#DIV/0!</v>
      </c>
      <c r="Y341" s="4" t="e">
        <f>S341*6/U341</f>
        <v>#DIV/0!</v>
      </c>
      <c r="Z341" s="2">
        <v>0</v>
      </c>
      <c r="AA341" s="2">
        <v>0</v>
      </c>
      <c r="AB341" s="2">
        <v>0</v>
      </c>
      <c r="AC341" s="2">
        <v>0</v>
      </c>
    </row>
    <row r="342" spans="1:29" x14ac:dyDescent="0.35">
      <c r="A342" s="1" t="s">
        <v>419</v>
      </c>
      <c r="B342" s="1" t="s">
        <v>420</v>
      </c>
      <c r="C342">
        <f>D342+E342+F342+G342+H342+I342</f>
        <v>21</v>
      </c>
      <c r="D342" s="2">
        <v>0</v>
      </c>
      <c r="E342" s="2">
        <v>0</v>
      </c>
      <c r="F342" s="2">
        <v>4</v>
      </c>
      <c r="G342" s="2">
        <v>15</v>
      </c>
      <c r="H342" s="2">
        <v>2</v>
      </c>
      <c r="I342" s="2">
        <v>0</v>
      </c>
      <c r="J342" s="2">
        <v>11</v>
      </c>
      <c r="K342">
        <f>J342+L342</f>
        <v>14</v>
      </c>
      <c r="L342" s="2">
        <v>3</v>
      </c>
      <c r="M342" s="2">
        <v>8</v>
      </c>
      <c r="N342" s="2">
        <v>163</v>
      </c>
      <c r="O342" s="3">
        <f>N342/J342</f>
        <v>14.818181818181818</v>
      </c>
      <c r="P342" s="2">
        <v>0</v>
      </c>
      <c r="Q342" s="2">
        <v>0</v>
      </c>
      <c r="R342" s="2">
        <v>38</v>
      </c>
      <c r="S342" s="2">
        <v>182</v>
      </c>
      <c r="T342" s="2">
        <v>35</v>
      </c>
      <c r="U342" s="2">
        <v>27</v>
      </c>
      <c r="V342" s="2">
        <v>539</v>
      </c>
      <c r="W342" s="3">
        <f>V342/S342</f>
        <v>2.9615384615384617</v>
      </c>
      <c r="X342" s="3">
        <f>V342/U342</f>
        <v>19.962962962962962</v>
      </c>
      <c r="Y342" s="4">
        <f>S342*6/U342</f>
        <v>40.444444444444443</v>
      </c>
      <c r="Z342" s="2">
        <v>5</v>
      </c>
      <c r="AA342" s="2">
        <v>1</v>
      </c>
      <c r="AB342" s="2">
        <v>0</v>
      </c>
      <c r="AC342" s="2">
        <v>5</v>
      </c>
    </row>
    <row r="343" spans="1:29" x14ac:dyDescent="0.35">
      <c r="A343" s="1" t="s">
        <v>421</v>
      </c>
      <c r="B343" s="1" t="s">
        <v>422</v>
      </c>
      <c r="C343">
        <f>D343+E343+F343+G343+H343+I343</f>
        <v>5</v>
      </c>
      <c r="D343" s="2">
        <v>5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2</v>
      </c>
      <c r="K343">
        <f>J343+L343</f>
        <v>2</v>
      </c>
      <c r="L343" s="2">
        <v>0</v>
      </c>
      <c r="M343" s="2">
        <v>3</v>
      </c>
      <c r="N343" s="2">
        <v>19</v>
      </c>
      <c r="O343" s="3">
        <f>N343/J343</f>
        <v>9.5</v>
      </c>
      <c r="P343" s="2">
        <v>0</v>
      </c>
      <c r="Q343" s="2">
        <v>0</v>
      </c>
      <c r="R343" s="2">
        <v>15</v>
      </c>
      <c r="S343" s="2">
        <v>22</v>
      </c>
      <c r="T343" s="2">
        <v>1</v>
      </c>
      <c r="U343" s="2">
        <v>3</v>
      </c>
      <c r="V343" s="2">
        <v>82</v>
      </c>
      <c r="W343" s="3">
        <f>V343/S343</f>
        <v>3.7272727272727271</v>
      </c>
      <c r="X343" s="3">
        <f>V343/U343</f>
        <v>27.333333333333332</v>
      </c>
      <c r="Y343" s="4">
        <f>S343*6/U343</f>
        <v>44</v>
      </c>
      <c r="Z343" s="2">
        <v>1</v>
      </c>
      <c r="AA343" s="2">
        <v>0</v>
      </c>
      <c r="AB343" s="2">
        <v>0</v>
      </c>
      <c r="AC343" s="2">
        <v>1</v>
      </c>
    </row>
    <row r="344" spans="1:29" x14ac:dyDescent="0.35">
      <c r="A344" s="1" t="s">
        <v>423</v>
      </c>
      <c r="B344" s="1" t="s">
        <v>424</v>
      </c>
      <c r="C344">
        <f>D344+E344+F344+G344+H344+I344</f>
        <v>3</v>
      </c>
      <c r="D344" s="2">
        <v>0</v>
      </c>
      <c r="E344" s="2">
        <v>0</v>
      </c>
      <c r="F344" s="2">
        <v>2</v>
      </c>
      <c r="G344" s="2">
        <v>1</v>
      </c>
      <c r="H344" s="2">
        <v>0</v>
      </c>
      <c r="I344" s="2">
        <v>0</v>
      </c>
      <c r="J344" s="2">
        <v>1</v>
      </c>
      <c r="K344">
        <f>J344+L344</f>
        <v>3</v>
      </c>
      <c r="L344" s="2">
        <v>2</v>
      </c>
      <c r="M344" s="2">
        <v>0</v>
      </c>
      <c r="N344" s="2">
        <v>16</v>
      </c>
      <c r="O344" s="3">
        <f>N344/J344</f>
        <v>16</v>
      </c>
      <c r="P344" s="2">
        <v>0</v>
      </c>
      <c r="Q344" s="2">
        <v>0</v>
      </c>
      <c r="R344" s="2">
        <v>13</v>
      </c>
      <c r="S344" s="2">
        <v>13</v>
      </c>
      <c r="T344" s="2">
        <v>1</v>
      </c>
      <c r="U344" s="2">
        <v>1</v>
      </c>
      <c r="V344" s="2">
        <v>53</v>
      </c>
      <c r="W344" s="3">
        <f>V344/S344</f>
        <v>4.0769230769230766</v>
      </c>
      <c r="X344" s="3">
        <f>V344/U344</f>
        <v>53</v>
      </c>
      <c r="Y344" s="4">
        <f>S344*6/U344</f>
        <v>78</v>
      </c>
      <c r="Z344" s="2">
        <v>1</v>
      </c>
      <c r="AA344" s="2">
        <v>0</v>
      </c>
      <c r="AB344" s="2">
        <v>0</v>
      </c>
      <c r="AC344" s="2">
        <v>0</v>
      </c>
    </row>
    <row r="345" spans="1:29" x14ac:dyDescent="0.35">
      <c r="A345" s="1" t="s">
        <v>425</v>
      </c>
      <c r="B345" s="1" t="s">
        <v>97</v>
      </c>
      <c r="C345">
        <f>D345+E345+F345+G345+H345+I345</f>
        <v>41</v>
      </c>
      <c r="D345" s="2">
        <v>0</v>
      </c>
      <c r="E345" s="2">
        <v>0</v>
      </c>
      <c r="F345" s="2">
        <v>2</v>
      </c>
      <c r="G345" s="2">
        <v>20</v>
      </c>
      <c r="H345" s="2">
        <v>19</v>
      </c>
      <c r="I345" s="2">
        <v>0</v>
      </c>
      <c r="J345" s="2">
        <v>30</v>
      </c>
      <c r="K345">
        <f>J345+L345</f>
        <v>36</v>
      </c>
      <c r="L345" s="2">
        <v>6</v>
      </c>
      <c r="M345" s="2">
        <v>6</v>
      </c>
      <c r="N345" s="2">
        <v>476</v>
      </c>
      <c r="O345" s="3">
        <f>N345/J345</f>
        <v>15.866666666666667</v>
      </c>
      <c r="P345" s="2">
        <v>1</v>
      </c>
      <c r="Q345" s="2">
        <v>0</v>
      </c>
      <c r="R345" s="2">
        <v>51</v>
      </c>
      <c r="S345" s="2">
        <v>49</v>
      </c>
      <c r="T345" s="2">
        <v>5</v>
      </c>
      <c r="U345" s="2">
        <v>14</v>
      </c>
      <c r="V345" s="2">
        <v>197</v>
      </c>
      <c r="W345" s="3">
        <f>V345/S345</f>
        <v>4.0204081632653059</v>
      </c>
      <c r="X345" s="3">
        <f>V345/U345</f>
        <v>14.071428571428571</v>
      </c>
      <c r="Y345" s="4">
        <f>S345*6/U345</f>
        <v>21</v>
      </c>
      <c r="Z345" s="2">
        <v>3</v>
      </c>
      <c r="AA345" s="2">
        <v>0</v>
      </c>
      <c r="AB345" s="2">
        <v>0</v>
      </c>
      <c r="AC345" s="2">
        <v>11</v>
      </c>
    </row>
    <row r="346" spans="1:29" x14ac:dyDescent="0.35">
      <c r="A346" s="1" t="s">
        <v>426</v>
      </c>
      <c r="B346" s="1" t="s">
        <v>427</v>
      </c>
      <c r="C346">
        <f>D346+E346+F346+G346+H346+I346</f>
        <v>13</v>
      </c>
      <c r="D346" s="2">
        <v>0</v>
      </c>
      <c r="E346" s="2">
        <v>0</v>
      </c>
      <c r="F346" s="2">
        <v>0</v>
      </c>
      <c r="G346" s="2">
        <v>4</v>
      </c>
      <c r="H346" s="2">
        <v>9</v>
      </c>
      <c r="I346" s="2">
        <v>0</v>
      </c>
      <c r="J346" s="2">
        <v>9</v>
      </c>
      <c r="K346">
        <f>J346+L346</f>
        <v>11</v>
      </c>
      <c r="L346" s="2">
        <v>2</v>
      </c>
      <c r="M346" s="2">
        <v>3</v>
      </c>
      <c r="N346" s="2">
        <v>173</v>
      </c>
      <c r="O346" s="3">
        <f>N346/J346</f>
        <v>19.222222222222221</v>
      </c>
      <c r="P346" s="2">
        <v>1</v>
      </c>
      <c r="Q346" s="2">
        <v>0</v>
      </c>
      <c r="R346" s="2">
        <v>73</v>
      </c>
      <c r="S346" s="2">
        <v>93</v>
      </c>
      <c r="T346" s="2">
        <v>17</v>
      </c>
      <c r="U346" s="2">
        <v>15</v>
      </c>
      <c r="V346" s="2">
        <v>304</v>
      </c>
      <c r="W346" s="3">
        <f>V346/S346</f>
        <v>3.2688172043010755</v>
      </c>
      <c r="X346" s="3">
        <f>V346/U346</f>
        <v>20.266666666666666</v>
      </c>
      <c r="Y346" s="4">
        <f>S346*6/U346</f>
        <v>37.200000000000003</v>
      </c>
      <c r="Z346" s="2">
        <v>5</v>
      </c>
      <c r="AA346" s="2">
        <v>1</v>
      </c>
      <c r="AB346" s="2">
        <v>0</v>
      </c>
      <c r="AC346" s="2">
        <v>3</v>
      </c>
    </row>
    <row r="347" spans="1:29" x14ac:dyDescent="0.35">
      <c r="A347" s="1" t="s">
        <v>426</v>
      </c>
      <c r="B347" s="1" t="s">
        <v>53</v>
      </c>
      <c r="C347">
        <f>D347+E347+F347+G347+H347+I347</f>
        <v>6</v>
      </c>
      <c r="D347" s="2">
        <v>0</v>
      </c>
      <c r="E347" s="2">
        <v>0</v>
      </c>
      <c r="F347" s="2">
        <v>0</v>
      </c>
      <c r="G347" s="2">
        <v>5</v>
      </c>
      <c r="H347" s="2">
        <v>1</v>
      </c>
      <c r="I347" s="2">
        <v>0</v>
      </c>
      <c r="J347" s="2">
        <v>5</v>
      </c>
      <c r="K347">
        <f>J347+L347</f>
        <v>6</v>
      </c>
      <c r="L347" s="2">
        <v>1</v>
      </c>
      <c r="M347" s="2">
        <v>1</v>
      </c>
      <c r="N347" s="2">
        <v>94</v>
      </c>
      <c r="O347" s="3">
        <f>N347/J347</f>
        <v>18.8</v>
      </c>
      <c r="P347" s="2">
        <v>1</v>
      </c>
      <c r="Q347" s="2">
        <v>0</v>
      </c>
      <c r="R347" s="2">
        <v>51</v>
      </c>
      <c r="S347" s="2">
        <v>10</v>
      </c>
      <c r="T347" s="2">
        <v>1</v>
      </c>
      <c r="U347" s="2">
        <v>3</v>
      </c>
      <c r="V347" s="2">
        <v>34</v>
      </c>
      <c r="W347" s="3">
        <f>V347/S347</f>
        <v>3.4</v>
      </c>
      <c r="X347" s="3">
        <f>V347/U347</f>
        <v>11.333333333333334</v>
      </c>
      <c r="Y347" s="4">
        <f>S347*6/U347</f>
        <v>20</v>
      </c>
      <c r="Z347" s="2">
        <v>3</v>
      </c>
      <c r="AA347" s="2">
        <v>0</v>
      </c>
      <c r="AB347" s="2">
        <v>0</v>
      </c>
      <c r="AC347" s="2">
        <v>3</v>
      </c>
    </row>
    <row r="348" spans="1:29" x14ac:dyDescent="0.35">
      <c r="A348" s="35" t="s">
        <v>1249</v>
      </c>
      <c r="B348" s="35" t="s">
        <v>1250</v>
      </c>
      <c r="C348">
        <f>D348+E348+F348+G348+H348+I348</f>
        <v>1</v>
      </c>
      <c r="D348" s="5">
        <v>0</v>
      </c>
      <c r="E348" s="5">
        <v>0</v>
      </c>
      <c r="F348" s="5">
        <v>1</v>
      </c>
      <c r="G348" s="5">
        <v>0</v>
      </c>
      <c r="H348" s="5">
        <v>0</v>
      </c>
      <c r="I348" s="5">
        <v>0</v>
      </c>
      <c r="J348" s="5">
        <v>1</v>
      </c>
      <c r="K348">
        <f>J348+L348</f>
        <v>1</v>
      </c>
      <c r="L348" s="5">
        <v>0</v>
      </c>
      <c r="M348" s="5">
        <v>0</v>
      </c>
      <c r="N348" s="5">
        <v>4</v>
      </c>
      <c r="O348" s="3">
        <f>N348/J348</f>
        <v>4</v>
      </c>
      <c r="P348" s="5">
        <v>0</v>
      </c>
      <c r="Q348" s="5">
        <v>0</v>
      </c>
      <c r="R348" s="5">
        <v>4</v>
      </c>
      <c r="S348" s="35"/>
      <c r="T348" s="35"/>
      <c r="U348" s="35"/>
      <c r="V348" s="35"/>
      <c r="Z348" s="35"/>
      <c r="AA348" s="35"/>
      <c r="AB348" s="35"/>
      <c r="AC348" s="35"/>
    </row>
    <row r="349" spans="1:29" x14ac:dyDescent="0.35">
      <c r="A349" s="1" t="s">
        <v>428</v>
      </c>
      <c r="B349" s="1" t="s">
        <v>429</v>
      </c>
      <c r="C349">
        <f>D349+E349+F349+G349+H349+I349</f>
        <v>11</v>
      </c>
      <c r="D349" s="2">
        <v>0</v>
      </c>
      <c r="E349" s="2">
        <v>5</v>
      </c>
      <c r="F349" s="2">
        <v>6</v>
      </c>
      <c r="G349" s="2">
        <v>0</v>
      </c>
      <c r="H349" s="2">
        <v>0</v>
      </c>
      <c r="I349" s="2">
        <v>0</v>
      </c>
      <c r="J349" s="2">
        <v>17</v>
      </c>
      <c r="K349">
        <f>J349+L349</f>
        <v>17</v>
      </c>
      <c r="L349" s="2">
        <v>0</v>
      </c>
      <c r="M349" s="2">
        <v>1</v>
      </c>
      <c r="N349" s="2">
        <v>212</v>
      </c>
      <c r="O349" s="3">
        <f>N349/J349</f>
        <v>12.470588235294118</v>
      </c>
      <c r="P349" s="2">
        <v>0</v>
      </c>
      <c r="Q349" s="2">
        <v>0</v>
      </c>
      <c r="R349" s="2">
        <v>42</v>
      </c>
      <c r="S349" s="2">
        <v>53</v>
      </c>
      <c r="T349" s="2">
        <v>11</v>
      </c>
      <c r="U349" s="2">
        <v>9</v>
      </c>
      <c r="V349" s="2">
        <v>187</v>
      </c>
      <c r="W349" s="3">
        <f>V349/S349</f>
        <v>3.5283018867924527</v>
      </c>
      <c r="X349" s="3">
        <f>V349/U349</f>
        <v>20.777777777777779</v>
      </c>
      <c r="Y349" s="4">
        <f>S349*6/U349</f>
        <v>35.333333333333336</v>
      </c>
      <c r="Z349" s="2">
        <v>3</v>
      </c>
      <c r="AA349" s="2">
        <v>0</v>
      </c>
      <c r="AB349" s="2">
        <v>0</v>
      </c>
      <c r="AC349" s="2">
        <v>1</v>
      </c>
    </row>
    <row r="350" spans="1:29" x14ac:dyDescent="0.35">
      <c r="A350" s="1" t="s">
        <v>430</v>
      </c>
      <c r="B350" s="1" t="s">
        <v>431</v>
      </c>
      <c r="C350">
        <f>D350+E350+F350+G350+H350+I350</f>
        <v>4</v>
      </c>
      <c r="D350" s="2">
        <v>1</v>
      </c>
      <c r="E350" s="2">
        <v>3</v>
      </c>
      <c r="F350" s="2">
        <v>0</v>
      </c>
      <c r="G350" s="2">
        <v>0</v>
      </c>
      <c r="H350" s="2">
        <v>0</v>
      </c>
      <c r="I350" s="2">
        <v>0</v>
      </c>
      <c r="J350" s="2">
        <v>5</v>
      </c>
      <c r="K350">
        <f>J350+L350</f>
        <v>5</v>
      </c>
      <c r="L350" s="2">
        <v>0</v>
      </c>
      <c r="M350" s="2">
        <v>0</v>
      </c>
      <c r="N350" s="2">
        <v>24</v>
      </c>
      <c r="O350" s="3">
        <f>N350/J350</f>
        <v>4.8</v>
      </c>
      <c r="P350" s="2">
        <v>0</v>
      </c>
      <c r="Q350" s="2">
        <v>0</v>
      </c>
      <c r="R350" s="2">
        <v>10</v>
      </c>
      <c r="S350" s="2">
        <v>28</v>
      </c>
      <c r="T350" s="2">
        <v>3</v>
      </c>
      <c r="U350" s="2">
        <v>4</v>
      </c>
      <c r="V350" s="2">
        <v>62</v>
      </c>
      <c r="W350" s="3">
        <f>V350/S350</f>
        <v>2.2142857142857144</v>
      </c>
      <c r="X350" s="3">
        <f>V350/U350</f>
        <v>15.5</v>
      </c>
      <c r="Y350" s="4">
        <f>S350*6/U350</f>
        <v>42</v>
      </c>
      <c r="Z350" s="2">
        <v>2</v>
      </c>
      <c r="AA350" s="2">
        <v>0</v>
      </c>
      <c r="AB350" s="2">
        <v>0</v>
      </c>
      <c r="AC350" s="2">
        <v>1</v>
      </c>
    </row>
    <row r="351" spans="1:29" x14ac:dyDescent="0.35">
      <c r="A351" s="35" t="s">
        <v>1168</v>
      </c>
      <c r="B351" s="35" t="s">
        <v>1169</v>
      </c>
      <c r="C351">
        <f>D351+E351+F351+G351+H351+I351</f>
        <v>3</v>
      </c>
      <c r="D351" s="5">
        <v>0</v>
      </c>
      <c r="E351" s="5">
        <v>0</v>
      </c>
      <c r="F351" s="5">
        <v>0</v>
      </c>
      <c r="G351" s="5">
        <v>3</v>
      </c>
      <c r="H351" s="5">
        <v>0</v>
      </c>
      <c r="I351" s="5">
        <v>0</v>
      </c>
      <c r="J351" s="5">
        <v>1</v>
      </c>
      <c r="K351">
        <f>J351+L351</f>
        <v>2</v>
      </c>
      <c r="L351" s="5">
        <v>1</v>
      </c>
      <c r="M351" s="5">
        <v>1</v>
      </c>
      <c r="N351" s="5">
        <v>2</v>
      </c>
      <c r="O351" s="3">
        <f>N351/J351</f>
        <v>2</v>
      </c>
      <c r="P351" s="5">
        <v>0</v>
      </c>
      <c r="Q351" s="5">
        <v>0</v>
      </c>
      <c r="R351" s="5">
        <v>1</v>
      </c>
      <c r="S351" s="35">
        <v>18</v>
      </c>
      <c r="T351" s="35">
        <v>3</v>
      </c>
      <c r="U351" s="35">
        <v>4</v>
      </c>
      <c r="V351" s="35">
        <v>96</v>
      </c>
      <c r="W351" s="3">
        <f>96/18</f>
        <v>5.333333333333333</v>
      </c>
      <c r="X351" s="3">
        <v>24</v>
      </c>
      <c r="Y351" s="4">
        <f>S351*6/U351</f>
        <v>27</v>
      </c>
      <c r="Z351" s="35" t="s">
        <v>1170</v>
      </c>
      <c r="AA351" s="35">
        <v>0</v>
      </c>
      <c r="AB351" s="5">
        <v>0</v>
      </c>
      <c r="AC351" s="5">
        <v>2</v>
      </c>
    </row>
    <row r="352" spans="1:29" x14ac:dyDescent="0.35">
      <c r="A352" s="1" t="s">
        <v>432</v>
      </c>
      <c r="B352" s="1" t="s">
        <v>434</v>
      </c>
      <c r="C352">
        <f>D352+E352+F352+G352+H352+I352</f>
        <v>22</v>
      </c>
      <c r="D352" s="2">
        <v>0</v>
      </c>
      <c r="E352" s="2">
        <v>0</v>
      </c>
      <c r="F352" s="2">
        <v>7</v>
      </c>
      <c r="G352" s="2">
        <v>12</v>
      </c>
      <c r="H352" s="2">
        <v>1</v>
      </c>
      <c r="I352" s="2">
        <v>2</v>
      </c>
      <c r="J352" s="2">
        <v>15</v>
      </c>
      <c r="K352">
        <f>J352+L352</f>
        <v>19</v>
      </c>
      <c r="L352" s="2">
        <v>4</v>
      </c>
      <c r="M352" s="2">
        <v>8</v>
      </c>
      <c r="N352" s="2">
        <v>185</v>
      </c>
      <c r="O352" s="3">
        <f>N352/J352</f>
        <v>12.333333333333334</v>
      </c>
      <c r="P352" s="2">
        <v>0</v>
      </c>
      <c r="Q352" s="2">
        <v>0</v>
      </c>
      <c r="R352" s="2">
        <v>40</v>
      </c>
      <c r="S352" s="2">
        <v>222</v>
      </c>
      <c r="T352" s="2">
        <v>45</v>
      </c>
      <c r="U352" s="2">
        <v>32</v>
      </c>
      <c r="V352" s="2">
        <v>636</v>
      </c>
      <c r="W352" s="3">
        <f>V352/S352</f>
        <v>2.8648648648648649</v>
      </c>
      <c r="X352" s="3">
        <f>V352/U352</f>
        <v>19.875</v>
      </c>
      <c r="Y352" s="4">
        <f>S352*6/U352</f>
        <v>41.625</v>
      </c>
      <c r="Z352" s="2">
        <v>3</v>
      </c>
      <c r="AA352" s="2">
        <v>0</v>
      </c>
      <c r="AB352" s="2">
        <v>0</v>
      </c>
      <c r="AC352" s="2">
        <v>6</v>
      </c>
    </row>
    <row r="353" spans="1:29" x14ac:dyDescent="0.35">
      <c r="A353" s="1" t="s">
        <v>432</v>
      </c>
      <c r="B353" s="1" t="s">
        <v>433</v>
      </c>
      <c r="C353">
        <f>D353+E353+F353+G353+H353+I353</f>
        <v>10</v>
      </c>
      <c r="D353" s="2">
        <v>0</v>
      </c>
      <c r="E353" s="2">
        <v>0</v>
      </c>
      <c r="F353" s="2">
        <v>3</v>
      </c>
      <c r="G353" s="2">
        <v>7</v>
      </c>
      <c r="H353" s="2">
        <v>0</v>
      </c>
      <c r="I353" s="2">
        <v>0</v>
      </c>
      <c r="J353" s="2">
        <v>10</v>
      </c>
      <c r="K353">
        <f>J353+L353</f>
        <v>10</v>
      </c>
      <c r="L353" s="2">
        <v>0</v>
      </c>
      <c r="M353" s="2">
        <v>1</v>
      </c>
      <c r="N353" s="2">
        <v>130</v>
      </c>
      <c r="O353" s="3">
        <f>N353/J353</f>
        <v>13</v>
      </c>
      <c r="P353" s="2">
        <v>0</v>
      </c>
      <c r="Q353" s="2">
        <v>0</v>
      </c>
      <c r="R353" s="2">
        <v>33</v>
      </c>
      <c r="S353" s="2">
        <v>95</v>
      </c>
      <c r="T353" s="2">
        <v>12</v>
      </c>
      <c r="U353" s="2">
        <v>11</v>
      </c>
      <c r="V353" s="2">
        <v>353</v>
      </c>
      <c r="W353" s="3">
        <f>V353/S353</f>
        <v>3.7157894736842105</v>
      </c>
      <c r="X353" s="3">
        <f>V353/U353</f>
        <v>32.090909090909093</v>
      </c>
      <c r="Y353" s="4">
        <f>S353*6/U353</f>
        <v>51.81818181818182</v>
      </c>
      <c r="Z353" s="2">
        <v>3</v>
      </c>
      <c r="AA353" s="2">
        <v>0</v>
      </c>
      <c r="AB353" s="2">
        <v>0</v>
      </c>
      <c r="AC353" s="2">
        <v>4</v>
      </c>
    </row>
    <row r="354" spans="1:29" x14ac:dyDescent="0.35">
      <c r="A354" s="1" t="s">
        <v>435</v>
      </c>
      <c r="B354" s="1" t="s">
        <v>436</v>
      </c>
      <c r="C354">
        <f>D354+E354+F354+G354+H354+I354</f>
        <v>53</v>
      </c>
      <c r="D354" s="2">
        <v>0</v>
      </c>
      <c r="E354" s="2">
        <v>2</v>
      </c>
      <c r="F354" s="2">
        <v>8</v>
      </c>
      <c r="G354" s="2">
        <v>13</v>
      </c>
      <c r="H354" s="2">
        <v>15</v>
      </c>
      <c r="I354" s="2">
        <v>15</v>
      </c>
      <c r="J354" s="2">
        <v>33</v>
      </c>
      <c r="K354">
        <f>J354+L354</f>
        <v>45</v>
      </c>
      <c r="L354" s="2">
        <v>12</v>
      </c>
      <c r="M354" s="2">
        <v>22</v>
      </c>
      <c r="N354" s="2">
        <v>269</v>
      </c>
      <c r="O354" s="3">
        <f>N354/J354</f>
        <v>8.1515151515151523</v>
      </c>
      <c r="P354" s="2">
        <v>0</v>
      </c>
      <c r="Q354" s="2">
        <v>0</v>
      </c>
      <c r="R354" s="2">
        <v>29</v>
      </c>
      <c r="S354" s="2">
        <v>566</v>
      </c>
      <c r="T354" s="2">
        <v>121</v>
      </c>
      <c r="U354" s="2">
        <v>74</v>
      </c>
      <c r="V354" s="2">
        <v>1657</v>
      </c>
      <c r="W354" s="3">
        <f>V354/S354</f>
        <v>2.9275618374558303</v>
      </c>
      <c r="X354" s="3">
        <f>V354/U354</f>
        <v>22.391891891891891</v>
      </c>
      <c r="Y354" s="4">
        <f>S354*6/U354</f>
        <v>45.891891891891895</v>
      </c>
      <c r="Z354" s="2">
        <v>4</v>
      </c>
      <c r="AA354" s="2">
        <v>0</v>
      </c>
      <c r="AB354" s="2">
        <v>0</v>
      </c>
      <c r="AC354" s="2">
        <v>11</v>
      </c>
    </row>
    <row r="355" spans="1:29" x14ac:dyDescent="0.35">
      <c r="A355" s="1" t="s">
        <v>437</v>
      </c>
      <c r="B355" s="1" t="s">
        <v>438</v>
      </c>
      <c r="C355">
        <f>D355+E355+F355+G355+H355+I355</f>
        <v>1</v>
      </c>
      <c r="D355" s="2">
        <v>0</v>
      </c>
      <c r="E355" s="2">
        <v>0</v>
      </c>
      <c r="F355" s="2">
        <v>1</v>
      </c>
      <c r="G355" s="2">
        <v>0</v>
      </c>
      <c r="H355" s="2">
        <v>0</v>
      </c>
      <c r="I355" s="2">
        <v>0</v>
      </c>
      <c r="J355" s="2">
        <v>1</v>
      </c>
      <c r="K355">
        <f>J355+L355</f>
        <v>1</v>
      </c>
      <c r="L355" s="2">
        <v>0</v>
      </c>
      <c r="M355" s="2">
        <v>0</v>
      </c>
      <c r="N355" s="2">
        <v>0</v>
      </c>
      <c r="O355" s="3">
        <f>N355/J355</f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3" t="e">
        <f>V355/S355</f>
        <v>#DIV/0!</v>
      </c>
      <c r="X355" s="3" t="e">
        <f>V355/U355</f>
        <v>#DIV/0!</v>
      </c>
      <c r="Y355" s="4" t="e">
        <f>S355*6/U355</f>
        <v>#DIV/0!</v>
      </c>
      <c r="Z355" s="2">
        <v>0</v>
      </c>
      <c r="AA355" s="2">
        <v>0</v>
      </c>
      <c r="AB355" s="2">
        <v>0</v>
      </c>
      <c r="AC355" s="2">
        <v>0</v>
      </c>
    </row>
    <row r="356" spans="1:29" x14ac:dyDescent="0.35">
      <c r="A356" s="1" t="s">
        <v>439</v>
      </c>
      <c r="B356" s="1" t="s">
        <v>176</v>
      </c>
      <c r="C356">
        <f>D356+E356+F356+G356+H356+I356</f>
        <v>34</v>
      </c>
      <c r="D356" s="2">
        <v>5</v>
      </c>
      <c r="E356" s="2">
        <v>20</v>
      </c>
      <c r="F356" s="2">
        <v>1</v>
      </c>
      <c r="G356" s="2">
        <v>8</v>
      </c>
      <c r="H356" s="2">
        <v>0</v>
      </c>
      <c r="I356" s="2">
        <v>0</v>
      </c>
      <c r="J356" s="2">
        <v>32</v>
      </c>
      <c r="K356">
        <f>J356+L356</f>
        <v>36</v>
      </c>
      <c r="L356" s="2">
        <v>4</v>
      </c>
      <c r="M356" s="2">
        <v>1</v>
      </c>
      <c r="N356" s="2">
        <v>439</v>
      </c>
      <c r="O356" s="3">
        <f>N356/J356</f>
        <v>13.71875</v>
      </c>
      <c r="P356" s="2">
        <v>1</v>
      </c>
      <c r="Q356" s="2">
        <v>0</v>
      </c>
      <c r="R356" s="2">
        <v>52</v>
      </c>
      <c r="S356" s="2">
        <v>10</v>
      </c>
      <c r="T356" s="2">
        <v>3</v>
      </c>
      <c r="U356" s="2">
        <v>0</v>
      </c>
      <c r="V356" s="2">
        <v>35</v>
      </c>
      <c r="W356" s="3">
        <f>V356/S356</f>
        <v>3.5</v>
      </c>
      <c r="X356" s="3" t="e">
        <f>V356/U356</f>
        <v>#DIV/0!</v>
      </c>
      <c r="Y356" s="4" t="e">
        <f>S356*6/U356</f>
        <v>#DIV/0!</v>
      </c>
      <c r="Z356" s="2">
        <v>0</v>
      </c>
      <c r="AA356" s="2">
        <v>0</v>
      </c>
      <c r="AB356" s="2">
        <v>0</v>
      </c>
      <c r="AC356" s="2">
        <v>13</v>
      </c>
    </row>
    <row r="357" spans="1:29" x14ac:dyDescent="0.35">
      <c r="A357" s="1" t="s">
        <v>439</v>
      </c>
      <c r="B357" s="1" t="s">
        <v>53</v>
      </c>
      <c r="C357">
        <f>D357+E357+F357+G357+H357+I357</f>
        <v>12</v>
      </c>
      <c r="D357" s="2">
        <v>0</v>
      </c>
      <c r="E357" s="2">
        <v>0</v>
      </c>
      <c r="F357" s="2">
        <v>5</v>
      </c>
      <c r="G357" s="2">
        <v>0</v>
      </c>
      <c r="H357" s="2">
        <v>7</v>
      </c>
      <c r="I357" s="2">
        <v>0</v>
      </c>
      <c r="J357" s="2">
        <v>11</v>
      </c>
      <c r="K357">
        <f>J357+L357</f>
        <v>14</v>
      </c>
      <c r="L357" s="2">
        <v>3</v>
      </c>
      <c r="M357" s="2">
        <v>1</v>
      </c>
      <c r="N357" s="2">
        <v>185</v>
      </c>
      <c r="O357" s="3">
        <f>N357/J357</f>
        <v>16.818181818181817</v>
      </c>
      <c r="P357" s="2">
        <v>0</v>
      </c>
      <c r="Q357" s="2">
        <v>0</v>
      </c>
      <c r="R357" s="2">
        <v>46</v>
      </c>
      <c r="S357" s="2">
        <v>0</v>
      </c>
      <c r="T357" s="2">
        <v>0</v>
      </c>
      <c r="U357" s="2">
        <v>0</v>
      </c>
      <c r="V357" s="2">
        <v>0</v>
      </c>
      <c r="W357" s="3" t="e">
        <f>V357/S357</f>
        <v>#DIV/0!</v>
      </c>
      <c r="X357" s="3" t="e">
        <f>V357/U357</f>
        <v>#DIV/0!</v>
      </c>
      <c r="Y357" s="4" t="e">
        <f>S357*6/U357</f>
        <v>#DIV/0!</v>
      </c>
      <c r="Z357" s="2">
        <v>0</v>
      </c>
      <c r="AA357" s="2">
        <v>0</v>
      </c>
      <c r="AB357" s="2">
        <v>0</v>
      </c>
      <c r="AC357" s="2">
        <v>3</v>
      </c>
    </row>
    <row r="358" spans="1:29" x14ac:dyDescent="0.35">
      <c r="A358" s="1" t="s">
        <v>440</v>
      </c>
      <c r="B358" s="1" t="s">
        <v>441</v>
      </c>
      <c r="C358">
        <f>D358+E358+F358+G358+H358+I358</f>
        <v>32</v>
      </c>
      <c r="D358" s="2">
        <v>0</v>
      </c>
      <c r="E358" s="2">
        <v>4</v>
      </c>
      <c r="F358" s="2">
        <v>9</v>
      </c>
      <c r="G358" s="2">
        <v>14</v>
      </c>
      <c r="H358" s="2">
        <v>3</v>
      </c>
      <c r="I358" s="2">
        <v>2</v>
      </c>
      <c r="J358" s="2">
        <v>19</v>
      </c>
      <c r="K358">
        <f>J358+L358</f>
        <v>27</v>
      </c>
      <c r="L358" s="2">
        <v>8</v>
      </c>
      <c r="M358" s="2">
        <v>8</v>
      </c>
      <c r="N358" s="2">
        <v>381</v>
      </c>
      <c r="O358" s="3">
        <f>N358/J358</f>
        <v>20.05263157894737</v>
      </c>
      <c r="P358" s="2">
        <v>1</v>
      </c>
      <c r="Q358" s="2">
        <v>0</v>
      </c>
      <c r="R358" s="2">
        <v>66</v>
      </c>
      <c r="S358" s="2">
        <v>10</v>
      </c>
      <c r="T358" s="2">
        <v>0</v>
      </c>
      <c r="U358" s="2">
        <v>4</v>
      </c>
      <c r="V358" s="2">
        <v>35</v>
      </c>
      <c r="W358" s="3">
        <f>V358/S358</f>
        <v>3.5</v>
      </c>
      <c r="X358" s="3">
        <f>V358/U358</f>
        <v>8.75</v>
      </c>
      <c r="Y358" s="4">
        <f>S358*6/U358</f>
        <v>15</v>
      </c>
      <c r="Z358" s="2">
        <v>4</v>
      </c>
      <c r="AA358" s="2">
        <v>0</v>
      </c>
      <c r="AB358" s="2">
        <v>0</v>
      </c>
      <c r="AC358" s="2">
        <v>44</v>
      </c>
    </row>
    <row r="359" spans="1:29" x14ac:dyDescent="0.35">
      <c r="A359" s="1" t="s">
        <v>442</v>
      </c>
      <c r="B359" s="1" t="s">
        <v>240</v>
      </c>
      <c r="C359">
        <f>D359+E359+F359+G359+H359+I359</f>
        <v>36</v>
      </c>
      <c r="D359" s="2">
        <v>0</v>
      </c>
      <c r="E359" s="2">
        <v>6</v>
      </c>
      <c r="F359" s="2">
        <v>2</v>
      </c>
      <c r="G359" s="2">
        <v>17</v>
      </c>
      <c r="H359" s="2">
        <v>8</v>
      </c>
      <c r="I359" s="2">
        <v>3</v>
      </c>
      <c r="J359" s="2">
        <v>18</v>
      </c>
      <c r="K359">
        <f>J359+L359</f>
        <v>24</v>
      </c>
      <c r="L359" s="2">
        <v>6</v>
      </c>
      <c r="M359" s="2">
        <v>15</v>
      </c>
      <c r="N359" s="2">
        <v>258</v>
      </c>
      <c r="O359" s="3">
        <f>N359/J359</f>
        <v>14.333333333333334</v>
      </c>
      <c r="P359" s="2">
        <v>0</v>
      </c>
      <c r="Q359" s="2">
        <v>0</v>
      </c>
      <c r="R359" s="2">
        <v>38</v>
      </c>
      <c r="S359" s="2">
        <v>359</v>
      </c>
      <c r="T359" s="2">
        <v>78</v>
      </c>
      <c r="U359" s="2">
        <v>54</v>
      </c>
      <c r="V359" s="2">
        <v>979</v>
      </c>
      <c r="W359" s="3">
        <f>V359/S359</f>
        <v>2.7270194986072425</v>
      </c>
      <c r="X359" s="3">
        <f>V359/U359</f>
        <v>18.12962962962963</v>
      </c>
      <c r="Y359" s="4">
        <f>S359*6/U359</f>
        <v>39.888888888888886</v>
      </c>
      <c r="Z359" s="2">
        <v>6</v>
      </c>
      <c r="AA359" s="2">
        <v>3</v>
      </c>
      <c r="AB359" s="2">
        <v>0</v>
      </c>
      <c r="AC359" s="2">
        <v>12</v>
      </c>
    </row>
    <row r="360" spans="1:29" x14ac:dyDescent="0.35">
      <c r="A360" s="1" t="s">
        <v>443</v>
      </c>
      <c r="B360" s="1" t="s">
        <v>444</v>
      </c>
      <c r="C360">
        <f>D360+E360+F360+G360+H360+I360</f>
        <v>11</v>
      </c>
      <c r="D360" s="2">
        <v>0</v>
      </c>
      <c r="E360" s="2">
        <v>10</v>
      </c>
      <c r="F360" s="2">
        <v>1</v>
      </c>
      <c r="G360" s="2">
        <v>0</v>
      </c>
      <c r="H360" s="2">
        <v>0</v>
      </c>
      <c r="I360" s="2">
        <v>0</v>
      </c>
      <c r="J360" s="2">
        <v>8</v>
      </c>
      <c r="K360">
        <f>J360+L360</f>
        <v>10</v>
      </c>
      <c r="L360" s="2">
        <v>2</v>
      </c>
      <c r="M360" s="2">
        <v>2</v>
      </c>
      <c r="N360" s="2">
        <v>123</v>
      </c>
      <c r="O360" s="3">
        <f>N360/J360</f>
        <v>15.375</v>
      </c>
      <c r="P360" s="2">
        <v>0</v>
      </c>
      <c r="Q360" s="2">
        <v>0</v>
      </c>
      <c r="R360" s="2">
        <v>37</v>
      </c>
      <c r="S360" s="2">
        <v>74</v>
      </c>
      <c r="T360" s="2">
        <v>5</v>
      </c>
      <c r="U360" s="2">
        <v>8</v>
      </c>
      <c r="V360" s="2">
        <v>337</v>
      </c>
      <c r="W360" s="3">
        <f>V360/S360</f>
        <v>4.5540540540540544</v>
      </c>
      <c r="X360" s="3">
        <f>V360/U360</f>
        <v>42.125</v>
      </c>
      <c r="Y360" s="4">
        <f>S360*6/U360</f>
        <v>55.5</v>
      </c>
      <c r="Z360" s="2">
        <v>2</v>
      </c>
      <c r="AA360" s="2">
        <v>0</v>
      </c>
      <c r="AB360" s="2">
        <v>0</v>
      </c>
      <c r="AC360" s="2">
        <v>0</v>
      </c>
    </row>
    <row r="361" spans="1:29" x14ac:dyDescent="0.35">
      <c r="A361" s="1" t="s">
        <v>445</v>
      </c>
      <c r="B361" s="1" t="s">
        <v>124</v>
      </c>
      <c r="C361">
        <f>D361+E361+F361+G361+H361+I361</f>
        <v>15</v>
      </c>
      <c r="D361" s="2">
        <v>0</v>
      </c>
      <c r="E361" s="2">
        <v>0</v>
      </c>
      <c r="F361" s="2">
        <v>14</v>
      </c>
      <c r="G361" s="2">
        <v>1</v>
      </c>
      <c r="H361" s="2">
        <v>0</v>
      </c>
      <c r="I361" s="2">
        <v>0</v>
      </c>
      <c r="J361" s="2">
        <v>14</v>
      </c>
      <c r="K361">
        <f>J361+L361</f>
        <v>15</v>
      </c>
      <c r="L361" s="2">
        <v>1</v>
      </c>
      <c r="M361" s="2">
        <v>0</v>
      </c>
      <c r="N361" s="2">
        <v>407</v>
      </c>
      <c r="O361" s="3">
        <f>N361/J361</f>
        <v>29.071428571428573</v>
      </c>
      <c r="P361" s="2">
        <v>2</v>
      </c>
      <c r="Q361" s="2">
        <v>1</v>
      </c>
      <c r="R361" s="2">
        <v>103</v>
      </c>
      <c r="S361" s="2">
        <v>21</v>
      </c>
      <c r="T361" s="2">
        <v>1</v>
      </c>
      <c r="U361" s="2">
        <v>2</v>
      </c>
      <c r="V361" s="2">
        <v>120</v>
      </c>
      <c r="W361" s="3">
        <f>V361/S361</f>
        <v>5.7142857142857144</v>
      </c>
      <c r="X361" s="3">
        <f>V361/U361</f>
        <v>60</v>
      </c>
      <c r="Y361" s="4">
        <f>S361*6/U361</f>
        <v>63</v>
      </c>
      <c r="Z361" s="2">
        <v>1</v>
      </c>
      <c r="AA361" s="2">
        <v>0</v>
      </c>
      <c r="AB361" s="2">
        <v>0</v>
      </c>
      <c r="AC361" s="2">
        <v>9</v>
      </c>
    </row>
    <row r="362" spans="1:29" x14ac:dyDescent="0.35">
      <c r="A362" s="1" t="s">
        <v>446</v>
      </c>
      <c r="B362" s="1" t="s">
        <v>242</v>
      </c>
      <c r="C362">
        <f>D362+E362+F362+G362+H362+I362</f>
        <v>34</v>
      </c>
      <c r="D362" s="2">
        <v>0</v>
      </c>
      <c r="E362" s="2">
        <v>0</v>
      </c>
      <c r="F362" s="2">
        <v>1</v>
      </c>
      <c r="G362" s="2">
        <v>21</v>
      </c>
      <c r="H362" s="2">
        <v>12</v>
      </c>
      <c r="I362" s="2">
        <v>0</v>
      </c>
      <c r="J362" s="2">
        <v>23</v>
      </c>
      <c r="K362">
        <f>J362+L362</f>
        <v>26</v>
      </c>
      <c r="L362" s="2">
        <v>3</v>
      </c>
      <c r="M362" s="2">
        <v>8</v>
      </c>
      <c r="N362" s="2">
        <v>715</v>
      </c>
      <c r="O362" s="3">
        <f>N362/J362</f>
        <v>31.086956521739129</v>
      </c>
      <c r="P362" s="2">
        <v>4</v>
      </c>
      <c r="Q362" s="2">
        <v>1</v>
      </c>
      <c r="R362" s="2">
        <v>117</v>
      </c>
      <c r="S362" s="2">
        <v>139</v>
      </c>
      <c r="T362" s="2">
        <v>19</v>
      </c>
      <c r="U362" s="2">
        <v>24</v>
      </c>
      <c r="V362" s="2">
        <v>558</v>
      </c>
      <c r="W362" s="3">
        <f>V362/S362</f>
        <v>4.014388489208633</v>
      </c>
      <c r="X362" s="3">
        <f>V362/U362</f>
        <v>23.25</v>
      </c>
      <c r="Y362" s="4">
        <f>S362*6/U362</f>
        <v>34.75</v>
      </c>
      <c r="Z362" s="2">
        <v>4</v>
      </c>
      <c r="AA362" s="2">
        <v>0</v>
      </c>
      <c r="AB362" s="2">
        <v>0</v>
      </c>
      <c r="AC362" s="2">
        <v>14</v>
      </c>
    </row>
    <row r="363" spans="1:29" x14ac:dyDescent="0.35">
      <c r="A363" s="1" t="s">
        <v>447</v>
      </c>
      <c r="B363" s="1" t="s">
        <v>156</v>
      </c>
      <c r="C363">
        <f>D363+E363+F363+G363+H363+I363</f>
        <v>87</v>
      </c>
      <c r="D363" s="2">
        <v>33</v>
      </c>
      <c r="E363" s="2">
        <v>35</v>
      </c>
      <c r="F363" s="2">
        <v>9</v>
      </c>
      <c r="G363" s="2">
        <v>6</v>
      </c>
      <c r="H363" s="2">
        <v>4</v>
      </c>
      <c r="I363" s="2">
        <v>0</v>
      </c>
      <c r="J363" s="2">
        <v>49</v>
      </c>
      <c r="K363">
        <f>J363+L363</f>
        <v>62</v>
      </c>
      <c r="L363" s="2">
        <v>13</v>
      </c>
      <c r="M363" s="2">
        <v>31</v>
      </c>
      <c r="N363" s="2">
        <v>443</v>
      </c>
      <c r="O363" s="3">
        <f>N363/J363</f>
        <v>9.0408163265306118</v>
      </c>
      <c r="P363" s="2">
        <v>1</v>
      </c>
      <c r="Q363" s="2">
        <v>0</v>
      </c>
      <c r="R363" s="2">
        <v>53</v>
      </c>
      <c r="S363" s="2">
        <f>493.2+8</f>
        <v>501.2</v>
      </c>
      <c r="T363" s="2">
        <v>82</v>
      </c>
      <c r="U363" s="2">
        <v>86</v>
      </c>
      <c r="V363" s="2">
        <f>1698+16</f>
        <v>1714</v>
      </c>
      <c r="W363" s="3">
        <f>V363/S363</f>
        <v>3.4197924980047887</v>
      </c>
      <c r="X363" s="3">
        <f>V363/U363</f>
        <v>19.930232558139537</v>
      </c>
      <c r="Y363" s="4">
        <f>S363*6/U363</f>
        <v>34.967441860465115</v>
      </c>
      <c r="Z363" s="2">
        <v>4</v>
      </c>
      <c r="AA363" s="2">
        <v>0</v>
      </c>
      <c r="AB363" s="2">
        <v>0</v>
      </c>
      <c r="AC363" s="2">
        <v>19</v>
      </c>
    </row>
    <row r="364" spans="1:29" x14ac:dyDescent="0.35">
      <c r="A364" s="1" t="s">
        <v>447</v>
      </c>
      <c r="B364" s="1" t="s">
        <v>45</v>
      </c>
      <c r="C364">
        <f>D364+E364+F364+G364+H364+I364</f>
        <v>45</v>
      </c>
      <c r="D364" s="2">
        <v>2</v>
      </c>
      <c r="E364" s="2">
        <v>24</v>
      </c>
      <c r="F364" s="2">
        <v>11</v>
      </c>
      <c r="G364" s="2">
        <v>6</v>
      </c>
      <c r="H364" s="2">
        <v>2</v>
      </c>
      <c r="I364" s="2">
        <v>0</v>
      </c>
      <c r="J364" s="2">
        <v>34</v>
      </c>
      <c r="K364">
        <f>J364+L364</f>
        <v>43</v>
      </c>
      <c r="L364" s="2">
        <v>9</v>
      </c>
      <c r="M364" s="2">
        <v>9</v>
      </c>
      <c r="N364" s="2">
        <v>794</v>
      </c>
      <c r="O364" s="3">
        <f>N364/J364</f>
        <v>23.352941176470587</v>
      </c>
      <c r="P364" s="2">
        <v>2</v>
      </c>
      <c r="Q364" s="2">
        <v>0</v>
      </c>
      <c r="R364" s="2">
        <v>77</v>
      </c>
      <c r="S364" s="2">
        <v>399</v>
      </c>
      <c r="T364" s="2">
        <v>112</v>
      </c>
      <c r="U364" s="2">
        <v>79</v>
      </c>
      <c r="V364" s="2">
        <v>893</v>
      </c>
      <c r="W364" s="3">
        <f>V364/S364</f>
        <v>2.2380952380952381</v>
      </c>
      <c r="X364" s="3">
        <f>V364/U364</f>
        <v>11.30379746835443</v>
      </c>
      <c r="Y364" s="4">
        <f>S364*6/U364</f>
        <v>30.303797468354432</v>
      </c>
      <c r="Z364" s="2">
        <v>6</v>
      </c>
      <c r="AA364" s="2">
        <v>2</v>
      </c>
      <c r="AB364" s="2">
        <v>0</v>
      </c>
      <c r="AC364" s="2">
        <v>10</v>
      </c>
    </row>
    <row r="365" spans="1:29" x14ac:dyDescent="0.35">
      <c r="A365" s="1" t="s">
        <v>448</v>
      </c>
      <c r="B365" s="1" t="s">
        <v>449</v>
      </c>
      <c r="C365">
        <f>D365+E365+F365+G365+H365+I365</f>
        <v>12</v>
      </c>
      <c r="D365" s="2">
        <v>0</v>
      </c>
      <c r="E365" s="2">
        <v>0</v>
      </c>
      <c r="F365" s="2">
        <v>0</v>
      </c>
      <c r="G365" s="2">
        <v>2</v>
      </c>
      <c r="H365" s="2">
        <v>5</v>
      </c>
      <c r="I365" s="2">
        <v>5</v>
      </c>
      <c r="J365" s="2">
        <v>5</v>
      </c>
      <c r="K365">
        <f>J365+L365</f>
        <v>7</v>
      </c>
      <c r="L365" s="2">
        <v>2</v>
      </c>
      <c r="M365" s="2">
        <v>6</v>
      </c>
      <c r="N365" s="2">
        <v>119</v>
      </c>
      <c r="O365" s="3">
        <f>N365/J365</f>
        <v>23.8</v>
      </c>
      <c r="P365" s="2">
        <v>1</v>
      </c>
      <c r="Q365" s="2">
        <v>0</v>
      </c>
      <c r="R365" s="2">
        <v>60</v>
      </c>
      <c r="S365" s="2">
        <v>93</v>
      </c>
      <c r="T365" s="2">
        <v>23</v>
      </c>
      <c r="U365" s="2">
        <v>17</v>
      </c>
      <c r="V365" s="2">
        <v>295</v>
      </c>
      <c r="W365" s="3">
        <f>V365/S365</f>
        <v>3.172043010752688</v>
      </c>
      <c r="X365" s="3">
        <f>V365/U365</f>
        <v>17.352941176470587</v>
      </c>
      <c r="Y365" s="4">
        <f>S365*6/U365</f>
        <v>32.823529411764703</v>
      </c>
      <c r="Z365" s="2">
        <v>4</v>
      </c>
      <c r="AA365" s="2">
        <v>0</v>
      </c>
      <c r="AB365" s="2">
        <v>0</v>
      </c>
      <c r="AC365" s="2">
        <v>3</v>
      </c>
    </row>
    <row r="366" spans="1:29" x14ac:dyDescent="0.35">
      <c r="A366" s="1" t="s">
        <v>450</v>
      </c>
      <c r="B366" s="1" t="s">
        <v>85</v>
      </c>
      <c r="C366">
        <f>D366+E366+F366+G366+H366+I366</f>
        <v>30</v>
      </c>
      <c r="D366" s="2">
        <v>0</v>
      </c>
      <c r="E366" s="2">
        <v>7</v>
      </c>
      <c r="F366" s="2">
        <v>9</v>
      </c>
      <c r="G366" s="2">
        <v>14</v>
      </c>
      <c r="H366" s="2">
        <v>0</v>
      </c>
      <c r="I366" s="2">
        <v>0</v>
      </c>
      <c r="J366" s="2">
        <v>29</v>
      </c>
      <c r="K366">
        <f>J366+L366</f>
        <v>36</v>
      </c>
      <c r="L366" s="2">
        <v>7</v>
      </c>
      <c r="M366" s="2">
        <v>3</v>
      </c>
      <c r="N366" s="2">
        <v>518</v>
      </c>
      <c r="O366" s="3">
        <f>N366/J366</f>
        <v>17.862068965517242</v>
      </c>
      <c r="P366" s="2">
        <v>1</v>
      </c>
      <c r="Q366" s="2">
        <v>0</v>
      </c>
      <c r="R366" s="2">
        <v>54</v>
      </c>
      <c r="S366" s="2">
        <v>297</v>
      </c>
      <c r="T366" s="2">
        <v>59</v>
      </c>
      <c r="U366" s="2">
        <v>38</v>
      </c>
      <c r="V366" s="2">
        <v>905</v>
      </c>
      <c r="W366" s="3">
        <f>V366/S366</f>
        <v>3.0471380471380471</v>
      </c>
      <c r="X366" s="3">
        <f>V366/U366</f>
        <v>23.815789473684209</v>
      </c>
      <c r="Y366" s="4">
        <f>S366*6/U366</f>
        <v>46.89473684210526</v>
      </c>
      <c r="Z366" s="2">
        <v>5</v>
      </c>
      <c r="AA366" s="2">
        <v>1</v>
      </c>
      <c r="AB366" s="2">
        <v>0</v>
      </c>
      <c r="AC366" s="2">
        <v>2</v>
      </c>
    </row>
    <row r="367" spans="1:29" x14ac:dyDescent="0.35">
      <c r="A367" s="1" t="s">
        <v>450</v>
      </c>
      <c r="B367" s="1" t="s">
        <v>244</v>
      </c>
      <c r="C367">
        <f>D367+E367+F367+G367+H367+I367</f>
        <v>1</v>
      </c>
      <c r="D367" s="2">
        <v>0</v>
      </c>
      <c r="E367" s="2">
        <v>0</v>
      </c>
      <c r="F367" s="2">
        <v>0</v>
      </c>
      <c r="G367" s="2">
        <v>1</v>
      </c>
      <c r="H367" s="2">
        <v>0</v>
      </c>
      <c r="I367" s="2">
        <v>0</v>
      </c>
      <c r="J367" s="2">
        <v>0</v>
      </c>
      <c r="K367">
        <f>J367+L367</f>
        <v>1</v>
      </c>
      <c r="L367" s="2">
        <v>1</v>
      </c>
      <c r="M367" s="2">
        <v>0</v>
      </c>
      <c r="N367" s="2">
        <v>17</v>
      </c>
      <c r="O367" s="3" t="e">
        <f>N367/J367</f>
        <v>#DIV/0!</v>
      </c>
      <c r="P367" s="2">
        <v>0</v>
      </c>
      <c r="Q367" s="2">
        <v>0</v>
      </c>
      <c r="R367" s="2">
        <v>17</v>
      </c>
      <c r="S367" s="2">
        <v>4</v>
      </c>
      <c r="T367" s="2">
        <v>1</v>
      </c>
      <c r="U367" s="2">
        <v>1</v>
      </c>
      <c r="V367" s="2">
        <v>19</v>
      </c>
      <c r="W367" s="3">
        <f>V367/S367</f>
        <v>4.75</v>
      </c>
      <c r="X367" s="3">
        <f>V367/U367</f>
        <v>19</v>
      </c>
      <c r="Y367" s="4">
        <f>S367*6/U367</f>
        <v>24</v>
      </c>
      <c r="Z367" s="2">
        <v>1</v>
      </c>
      <c r="AA367" s="2">
        <v>0</v>
      </c>
      <c r="AB367" s="2">
        <v>0</v>
      </c>
      <c r="AC367" s="2">
        <v>0</v>
      </c>
    </row>
    <row r="368" spans="1:29" x14ac:dyDescent="0.35">
      <c r="A368" s="1" t="s">
        <v>451</v>
      </c>
      <c r="B368" s="1" t="s">
        <v>453</v>
      </c>
      <c r="C368">
        <f>D368+E368+F368+G368+H368+I368</f>
        <v>4</v>
      </c>
      <c r="D368" s="2">
        <v>0</v>
      </c>
      <c r="E368" s="2">
        <v>0</v>
      </c>
      <c r="F368" s="2">
        <v>1</v>
      </c>
      <c r="G368" s="2">
        <v>3</v>
      </c>
      <c r="H368" s="2">
        <v>0</v>
      </c>
      <c r="I368" s="2">
        <v>0</v>
      </c>
      <c r="J368" s="2">
        <v>2</v>
      </c>
      <c r="K368">
        <f>J368+L368</f>
        <v>3</v>
      </c>
      <c r="L368" s="2">
        <v>1</v>
      </c>
      <c r="M368" s="2">
        <v>2</v>
      </c>
      <c r="N368" s="2">
        <v>53</v>
      </c>
      <c r="O368" s="3">
        <f>N368/J368</f>
        <v>26.5</v>
      </c>
      <c r="P368" s="2">
        <v>0</v>
      </c>
      <c r="Q368" s="2">
        <v>0</v>
      </c>
      <c r="R368" s="2">
        <v>48</v>
      </c>
      <c r="S368" s="2">
        <v>20</v>
      </c>
      <c r="T368" s="2">
        <v>3</v>
      </c>
      <c r="U368" s="2">
        <v>1</v>
      </c>
      <c r="V368" s="2">
        <v>68</v>
      </c>
      <c r="W368" s="3">
        <f>V368/S368</f>
        <v>3.4</v>
      </c>
      <c r="X368" s="3">
        <f>V368/U368</f>
        <v>68</v>
      </c>
      <c r="Y368" s="4">
        <f>S368*6/U368</f>
        <v>120</v>
      </c>
      <c r="Z368" s="2">
        <v>1</v>
      </c>
      <c r="AA368" s="2">
        <v>0</v>
      </c>
      <c r="AB368" s="2">
        <v>0</v>
      </c>
      <c r="AC368" s="2">
        <v>0</v>
      </c>
    </row>
    <row r="369" spans="1:29" x14ac:dyDescent="0.35">
      <c r="A369" s="1" t="s">
        <v>451</v>
      </c>
      <c r="B369" s="1" t="s">
        <v>77</v>
      </c>
      <c r="C369">
        <f>D369+E369+F369+G369+H369+I369</f>
        <v>5</v>
      </c>
      <c r="D369" s="2">
        <v>0</v>
      </c>
      <c r="E369" s="2">
        <v>0</v>
      </c>
      <c r="F369" s="2">
        <v>2</v>
      </c>
      <c r="G369" s="2">
        <v>3</v>
      </c>
      <c r="H369" s="2">
        <v>0</v>
      </c>
      <c r="I369" s="2">
        <v>0</v>
      </c>
      <c r="J369" s="2">
        <v>4</v>
      </c>
      <c r="K369">
        <f>J369+L369</f>
        <v>5</v>
      </c>
      <c r="L369" s="2">
        <v>1</v>
      </c>
      <c r="M369" s="2">
        <v>0</v>
      </c>
      <c r="N369" s="2">
        <v>118</v>
      </c>
      <c r="O369" s="3">
        <f>N369/J369</f>
        <v>29.5</v>
      </c>
      <c r="P369" s="2">
        <v>1</v>
      </c>
      <c r="Q369" s="2">
        <v>0</v>
      </c>
      <c r="R369" s="2">
        <v>60</v>
      </c>
      <c r="S369" s="2">
        <v>0</v>
      </c>
      <c r="T369" s="2">
        <v>0</v>
      </c>
      <c r="U369" s="2">
        <v>0</v>
      </c>
      <c r="V369" s="2">
        <v>0</v>
      </c>
      <c r="W369" s="3" t="e">
        <f>V369/S369</f>
        <v>#DIV/0!</v>
      </c>
      <c r="X369" s="3" t="e">
        <f>V369/U369</f>
        <v>#DIV/0!</v>
      </c>
      <c r="Y369" s="4" t="e">
        <f>S369*6/U369</f>
        <v>#DIV/0!</v>
      </c>
      <c r="Z369" s="2">
        <v>0</v>
      </c>
      <c r="AA369" s="2">
        <v>0</v>
      </c>
      <c r="AB369" s="2">
        <v>0</v>
      </c>
      <c r="AC369" s="2">
        <v>0</v>
      </c>
    </row>
    <row r="370" spans="1:29" x14ac:dyDescent="0.35">
      <c r="A370" s="1" t="s">
        <v>451</v>
      </c>
      <c r="B370" s="1" t="s">
        <v>452</v>
      </c>
      <c r="C370">
        <f>D370+E370+F370+G370+H370+I370</f>
        <v>4</v>
      </c>
      <c r="D370" s="2">
        <v>0</v>
      </c>
      <c r="E370" s="2">
        <v>0</v>
      </c>
      <c r="F370" s="2">
        <v>1</v>
      </c>
      <c r="G370" s="2">
        <v>3</v>
      </c>
      <c r="H370" s="2">
        <v>0</v>
      </c>
      <c r="I370" s="2">
        <v>0</v>
      </c>
      <c r="J370" s="2">
        <v>3</v>
      </c>
      <c r="K370">
        <f>J370+L370</f>
        <v>4</v>
      </c>
      <c r="L370" s="2">
        <v>1</v>
      </c>
      <c r="M370" s="2">
        <v>0</v>
      </c>
      <c r="N370" s="2">
        <v>22</v>
      </c>
      <c r="O370" s="3">
        <f>N370/J370</f>
        <v>7.333333333333333</v>
      </c>
      <c r="P370" s="2">
        <v>0</v>
      </c>
      <c r="Q370" s="2">
        <v>0</v>
      </c>
      <c r="R370" s="2">
        <v>12</v>
      </c>
      <c r="S370" s="2">
        <v>0</v>
      </c>
      <c r="T370" s="2">
        <v>0</v>
      </c>
      <c r="U370" s="2">
        <v>0</v>
      </c>
      <c r="V370" s="2">
        <v>0</v>
      </c>
      <c r="W370" s="3" t="e">
        <f>V370/S370</f>
        <v>#DIV/0!</v>
      </c>
      <c r="X370" s="3" t="e">
        <f>V370/U370</f>
        <v>#DIV/0!</v>
      </c>
      <c r="Y370" s="4" t="e">
        <f>S370*6/U370</f>
        <v>#DIV/0!</v>
      </c>
      <c r="Z370" s="2">
        <v>0</v>
      </c>
      <c r="AA370" s="2">
        <v>0</v>
      </c>
      <c r="AB370" s="2">
        <v>0</v>
      </c>
      <c r="AC370" s="2">
        <v>0</v>
      </c>
    </row>
    <row r="371" spans="1:29" x14ac:dyDescent="0.35">
      <c r="A371" s="1" t="s">
        <v>454</v>
      </c>
      <c r="B371" s="1" t="s">
        <v>198</v>
      </c>
      <c r="C371">
        <f>D371+E371+F371+G371+H371+I371</f>
        <v>21</v>
      </c>
      <c r="D371" s="2">
        <v>0</v>
      </c>
      <c r="E371" s="2">
        <v>3</v>
      </c>
      <c r="F371" s="2">
        <v>2</v>
      </c>
      <c r="G371" s="2">
        <v>4</v>
      </c>
      <c r="H371" s="2">
        <v>6</v>
      </c>
      <c r="I371" s="2">
        <v>6</v>
      </c>
      <c r="J371" s="2">
        <v>13</v>
      </c>
      <c r="K371">
        <f>J371+L371</f>
        <v>19</v>
      </c>
      <c r="L371" s="2">
        <v>6</v>
      </c>
      <c r="M371" s="2">
        <v>3</v>
      </c>
      <c r="N371" s="2">
        <v>539</v>
      </c>
      <c r="O371" s="3">
        <f>N371/J371</f>
        <v>41.46153846153846</v>
      </c>
      <c r="P371" s="2">
        <v>1</v>
      </c>
      <c r="Q371" s="2">
        <v>2</v>
      </c>
      <c r="R371" s="2">
        <v>133</v>
      </c>
      <c r="S371" s="2">
        <v>4</v>
      </c>
      <c r="T371" s="2">
        <v>0</v>
      </c>
      <c r="U371" s="2">
        <v>2</v>
      </c>
      <c r="V371" s="2">
        <v>22</v>
      </c>
      <c r="W371" s="3">
        <f>V371/S371</f>
        <v>5.5</v>
      </c>
      <c r="X371" s="3">
        <f>V371/U371</f>
        <v>11</v>
      </c>
      <c r="Y371" s="4">
        <f>S371*6/U371</f>
        <v>12</v>
      </c>
      <c r="Z371" s="2">
        <v>1</v>
      </c>
      <c r="AA371" s="2">
        <v>0</v>
      </c>
      <c r="AB371" s="2">
        <v>0</v>
      </c>
      <c r="AC371" s="2">
        <v>15</v>
      </c>
    </row>
    <row r="372" spans="1:29" x14ac:dyDescent="0.35">
      <c r="A372" s="1" t="s">
        <v>454</v>
      </c>
      <c r="B372" s="1" t="s">
        <v>28</v>
      </c>
      <c r="C372">
        <f>D372+E372+F372+G372+H372+I372</f>
        <v>2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2</v>
      </c>
      <c r="J372" s="2">
        <v>0</v>
      </c>
      <c r="K372">
        <f>J372+L372</f>
        <v>1</v>
      </c>
      <c r="L372" s="2">
        <v>1</v>
      </c>
      <c r="M372" s="2">
        <v>1</v>
      </c>
      <c r="N372" s="2">
        <v>2</v>
      </c>
      <c r="O372" s="3" t="e">
        <f>N372/J372</f>
        <v>#DIV/0!</v>
      </c>
      <c r="P372" s="2">
        <v>0</v>
      </c>
      <c r="Q372" s="2">
        <v>0</v>
      </c>
      <c r="R372" s="2">
        <v>2</v>
      </c>
      <c r="S372" s="2">
        <v>16</v>
      </c>
      <c r="T372" s="2">
        <v>1</v>
      </c>
      <c r="U372" s="2">
        <v>5</v>
      </c>
      <c r="V372" s="2">
        <v>63</v>
      </c>
      <c r="W372" s="3">
        <f>V372/S372</f>
        <v>3.9375</v>
      </c>
      <c r="X372" s="3">
        <f>V372/U372</f>
        <v>12.6</v>
      </c>
      <c r="Y372" s="4">
        <f>S372*6/U372</f>
        <v>19.2</v>
      </c>
      <c r="Z372" s="2">
        <v>3</v>
      </c>
      <c r="AA372" s="2">
        <v>0</v>
      </c>
      <c r="AB372" s="2">
        <v>0</v>
      </c>
      <c r="AC372" s="2">
        <v>0</v>
      </c>
    </row>
    <row r="373" spans="1:29" x14ac:dyDescent="0.35">
      <c r="A373" s="1" t="s">
        <v>454</v>
      </c>
      <c r="B373" s="1" t="s">
        <v>455</v>
      </c>
      <c r="C373">
        <f>D373+E373+F373+G373+H373+I373</f>
        <v>3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3</v>
      </c>
      <c r="J373" s="2">
        <v>1</v>
      </c>
      <c r="K373">
        <f>J373+L373</f>
        <v>2</v>
      </c>
      <c r="L373" s="2">
        <v>1</v>
      </c>
      <c r="M373" s="2">
        <v>1</v>
      </c>
      <c r="N373" s="2">
        <v>5</v>
      </c>
      <c r="O373" s="3">
        <f>N373/J373</f>
        <v>5</v>
      </c>
      <c r="P373" s="2">
        <v>0</v>
      </c>
      <c r="Q373" s="2">
        <v>0</v>
      </c>
      <c r="R373" s="2">
        <v>5</v>
      </c>
      <c r="S373" s="2">
        <v>3</v>
      </c>
      <c r="T373" s="2">
        <v>0</v>
      </c>
      <c r="U373" s="2">
        <v>2</v>
      </c>
      <c r="V373" s="2">
        <v>19</v>
      </c>
      <c r="W373" s="3">
        <f>V373/S373</f>
        <v>6.333333333333333</v>
      </c>
      <c r="X373" s="3">
        <f>V373/U373</f>
        <v>9.5</v>
      </c>
      <c r="Y373" s="4">
        <f>S373*6/U373</f>
        <v>9</v>
      </c>
      <c r="Z373" s="2">
        <v>2</v>
      </c>
      <c r="AA373" s="2">
        <v>0</v>
      </c>
      <c r="AB373" s="2">
        <v>0</v>
      </c>
      <c r="AC373" s="2">
        <v>0</v>
      </c>
    </row>
    <row r="374" spans="1:29" x14ac:dyDescent="0.35">
      <c r="A374" s="1" t="s">
        <v>456</v>
      </c>
      <c r="B374" s="1" t="s">
        <v>149</v>
      </c>
      <c r="C374">
        <f>D374+E374+F374+G374+H374+I374</f>
        <v>1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1</v>
      </c>
      <c r="J374" s="2">
        <v>1</v>
      </c>
      <c r="K374">
        <f>J374+L374</f>
        <v>1</v>
      </c>
      <c r="L374" s="2">
        <v>0</v>
      </c>
      <c r="M374" s="2">
        <v>0</v>
      </c>
      <c r="N374" s="2">
        <v>7</v>
      </c>
      <c r="O374" s="3">
        <f>N374/J374</f>
        <v>7</v>
      </c>
      <c r="P374" s="2">
        <v>0</v>
      </c>
      <c r="Q374" s="2">
        <v>0</v>
      </c>
      <c r="R374" s="2">
        <v>7</v>
      </c>
      <c r="S374" s="2">
        <v>4</v>
      </c>
      <c r="T374" s="2">
        <v>0</v>
      </c>
      <c r="U374" s="2">
        <v>0</v>
      </c>
      <c r="V374" s="2">
        <v>16</v>
      </c>
      <c r="W374" s="3">
        <f>V374/S374</f>
        <v>4</v>
      </c>
      <c r="X374" s="3" t="e">
        <f>V374/U374</f>
        <v>#DIV/0!</v>
      </c>
      <c r="Y374" s="4" t="e">
        <f>S374*6/U374</f>
        <v>#DIV/0!</v>
      </c>
      <c r="Z374" s="2">
        <v>0</v>
      </c>
      <c r="AA374" s="2">
        <v>0</v>
      </c>
      <c r="AB374" s="2">
        <v>0</v>
      </c>
      <c r="AC374" s="2">
        <v>0</v>
      </c>
    </row>
    <row r="375" spans="1:29" x14ac:dyDescent="0.35">
      <c r="A375" s="1" t="s">
        <v>457</v>
      </c>
      <c r="B375" s="1" t="s">
        <v>190</v>
      </c>
      <c r="C375">
        <f>D375+E375+F375+G375+H375+I375</f>
        <v>71</v>
      </c>
      <c r="D375" s="2">
        <v>13</v>
      </c>
      <c r="E375" s="2">
        <v>44</v>
      </c>
      <c r="F375" s="2">
        <v>11</v>
      </c>
      <c r="G375" s="2">
        <v>2</v>
      </c>
      <c r="H375" s="2">
        <v>0</v>
      </c>
      <c r="I375" s="2">
        <v>1</v>
      </c>
      <c r="J375" s="2">
        <v>84</v>
      </c>
      <c r="K375">
        <f>J375+L375</f>
        <v>90</v>
      </c>
      <c r="L375" s="2">
        <v>6</v>
      </c>
      <c r="M375" s="2">
        <v>5</v>
      </c>
      <c r="N375" s="2">
        <v>1863</v>
      </c>
      <c r="O375" s="3">
        <f>N375/J375</f>
        <v>22.178571428571427</v>
      </c>
      <c r="P375" s="2">
        <v>8</v>
      </c>
      <c r="Q375" s="2">
        <v>2</v>
      </c>
      <c r="R375" s="2">
        <v>130</v>
      </c>
      <c r="S375" s="2">
        <v>11</v>
      </c>
      <c r="T375" s="2">
        <v>2</v>
      </c>
      <c r="U375" s="2">
        <v>2</v>
      </c>
      <c r="V375" s="2">
        <v>29</v>
      </c>
      <c r="W375" s="3">
        <f>V375/S375</f>
        <v>2.6363636363636362</v>
      </c>
      <c r="X375" s="3">
        <f>V375/U375</f>
        <v>14.5</v>
      </c>
      <c r="Y375" s="4">
        <f>S375*6/U375</f>
        <v>33</v>
      </c>
      <c r="Z375" s="2">
        <v>2</v>
      </c>
      <c r="AA375" s="2">
        <v>0</v>
      </c>
      <c r="AB375" s="2">
        <v>0</v>
      </c>
      <c r="AC375" s="2">
        <v>31</v>
      </c>
    </row>
    <row r="376" spans="1:29" x14ac:dyDescent="0.35">
      <c r="A376" s="15" t="s">
        <v>458</v>
      </c>
      <c r="B376" s="15" t="s">
        <v>459</v>
      </c>
      <c r="C376" s="18">
        <f>D376+E376+F376+G376+H376+I376</f>
        <v>56</v>
      </c>
      <c r="D376" s="16">
        <v>0</v>
      </c>
      <c r="E376" s="16">
        <v>5</v>
      </c>
      <c r="F376" s="16">
        <v>13</v>
      </c>
      <c r="G376" s="16">
        <v>16</v>
      </c>
      <c r="H376" s="16">
        <v>22</v>
      </c>
      <c r="I376" s="16">
        <v>0</v>
      </c>
      <c r="J376" s="16">
        <v>52</v>
      </c>
      <c r="K376" s="18">
        <f>J376+L376</f>
        <v>56</v>
      </c>
      <c r="L376" s="16">
        <v>4</v>
      </c>
      <c r="M376" s="16">
        <v>1</v>
      </c>
      <c r="N376" s="16">
        <f>1643+38</f>
        <v>1681</v>
      </c>
      <c r="O376" s="19">
        <f>N376/J376</f>
        <v>32.32692307692308</v>
      </c>
      <c r="P376" s="16">
        <v>9</v>
      </c>
      <c r="Q376" s="16">
        <v>3</v>
      </c>
      <c r="R376" s="16">
        <v>108</v>
      </c>
      <c r="S376" s="16">
        <f>252+63.4</f>
        <v>315.39999999999998</v>
      </c>
      <c r="T376" s="16">
        <v>41</v>
      </c>
      <c r="U376" s="16">
        <f>46+7</f>
        <v>53</v>
      </c>
      <c r="V376" s="16">
        <f>1008+213</f>
        <v>1221</v>
      </c>
      <c r="W376" s="19">
        <f>V376/S376</f>
        <v>3.8712745719720991</v>
      </c>
      <c r="X376" s="19">
        <f>V376/U376</f>
        <v>23.037735849056602</v>
      </c>
      <c r="Y376" s="20">
        <f>S376*6/U376</f>
        <v>35.705660377358491</v>
      </c>
      <c r="Z376" s="37" t="s">
        <v>1356</v>
      </c>
      <c r="AA376" s="16">
        <v>0</v>
      </c>
      <c r="AB376" s="16">
        <v>0</v>
      </c>
      <c r="AC376" s="16">
        <v>18</v>
      </c>
    </row>
    <row r="377" spans="1:29" x14ac:dyDescent="0.35">
      <c r="A377" s="1" t="s">
        <v>460</v>
      </c>
      <c r="B377" s="1" t="s">
        <v>461</v>
      </c>
      <c r="C377">
        <f>D377+E377+F377+G377+H377+I377</f>
        <v>11</v>
      </c>
      <c r="D377" s="2">
        <v>0</v>
      </c>
      <c r="E377" s="2">
        <v>0</v>
      </c>
      <c r="F377" s="2">
        <v>0</v>
      </c>
      <c r="G377" s="2">
        <v>0</v>
      </c>
      <c r="H377" s="2">
        <v>11</v>
      </c>
      <c r="I377" s="2">
        <v>0</v>
      </c>
      <c r="J377" s="2">
        <v>8</v>
      </c>
      <c r="K377">
        <f>J377+L377</f>
        <v>8</v>
      </c>
      <c r="L377" s="2">
        <v>0</v>
      </c>
      <c r="M377" s="2">
        <v>3</v>
      </c>
      <c r="N377" s="2">
        <v>163</v>
      </c>
      <c r="O377" s="3">
        <f>N377/J377</f>
        <v>20.375</v>
      </c>
      <c r="P377" s="2">
        <v>1</v>
      </c>
      <c r="Q377" s="2">
        <v>0</v>
      </c>
      <c r="R377" s="2">
        <v>81</v>
      </c>
      <c r="S377" s="2">
        <v>0</v>
      </c>
      <c r="T377" s="2">
        <v>0</v>
      </c>
      <c r="U377" s="2">
        <v>0</v>
      </c>
      <c r="V377" s="2">
        <v>0</v>
      </c>
      <c r="W377" s="3" t="e">
        <f>V377/S377</f>
        <v>#DIV/0!</v>
      </c>
      <c r="X377" s="3" t="e">
        <f>V377/U377</f>
        <v>#DIV/0!</v>
      </c>
      <c r="Y377" s="4" t="e">
        <f>S377*6/U377</f>
        <v>#DIV/0!</v>
      </c>
      <c r="Z377" s="2">
        <v>0</v>
      </c>
      <c r="AA377" s="2">
        <v>0</v>
      </c>
      <c r="AB377" s="2">
        <v>0</v>
      </c>
      <c r="AC377" s="2">
        <v>4</v>
      </c>
    </row>
    <row r="378" spans="1:29" x14ac:dyDescent="0.35">
      <c r="A378" s="1" t="s">
        <v>449</v>
      </c>
      <c r="B378" s="1" t="s">
        <v>66</v>
      </c>
      <c r="C378">
        <f>D378+E378+F378+G378+H378+I378</f>
        <v>26</v>
      </c>
      <c r="D378" s="2">
        <v>0</v>
      </c>
      <c r="E378" s="2">
        <v>0</v>
      </c>
      <c r="F378" s="2">
        <v>12</v>
      </c>
      <c r="G378" s="2">
        <v>14</v>
      </c>
      <c r="H378" s="2">
        <v>0</v>
      </c>
      <c r="I378" s="2">
        <v>0</v>
      </c>
      <c r="J378" s="2">
        <v>11</v>
      </c>
      <c r="K378">
        <f>J378+L378</f>
        <v>15</v>
      </c>
      <c r="L378" s="2">
        <v>4</v>
      </c>
      <c r="M378" s="2">
        <v>11</v>
      </c>
      <c r="N378" s="2">
        <v>47</v>
      </c>
      <c r="O378" s="3">
        <f>N378/J378</f>
        <v>4.2727272727272725</v>
      </c>
      <c r="P378" s="2">
        <v>0</v>
      </c>
      <c r="Q378" s="2">
        <v>0</v>
      </c>
      <c r="R378" s="2">
        <v>20</v>
      </c>
      <c r="S378" s="2">
        <v>112</v>
      </c>
      <c r="T378" s="2">
        <v>12</v>
      </c>
      <c r="U378" s="2">
        <v>27</v>
      </c>
      <c r="V378" s="2">
        <v>567</v>
      </c>
      <c r="W378" s="3">
        <f>V378/S378</f>
        <v>5.0625</v>
      </c>
      <c r="X378" s="3">
        <f>V378/U378</f>
        <v>21</v>
      </c>
      <c r="Y378" s="4">
        <f>S378*6/U378</f>
        <v>24.888888888888889</v>
      </c>
      <c r="Z378" s="2">
        <v>4</v>
      </c>
      <c r="AA378" s="2">
        <v>0</v>
      </c>
      <c r="AB378" s="2">
        <v>0</v>
      </c>
      <c r="AC378" s="2">
        <v>6</v>
      </c>
    </row>
    <row r="379" spans="1:29" x14ac:dyDescent="0.35">
      <c r="A379" s="1" t="s">
        <v>462</v>
      </c>
      <c r="B379" s="1" t="s">
        <v>463</v>
      </c>
      <c r="C379">
        <f>D379+E379+F379+G379+H379+I379</f>
        <v>3</v>
      </c>
      <c r="D379" s="2">
        <v>0</v>
      </c>
      <c r="E379" s="2">
        <v>0</v>
      </c>
      <c r="F379" s="2">
        <v>1</v>
      </c>
      <c r="G379" s="2">
        <v>2</v>
      </c>
      <c r="H379" s="2">
        <v>0</v>
      </c>
      <c r="I379" s="2">
        <v>0</v>
      </c>
      <c r="J379" s="2">
        <v>3</v>
      </c>
      <c r="K379">
        <f>J379+L379</f>
        <v>3</v>
      </c>
      <c r="L379" s="2">
        <v>0</v>
      </c>
      <c r="M379" s="2">
        <v>0</v>
      </c>
      <c r="N379" s="2">
        <v>66</v>
      </c>
      <c r="O379" s="3">
        <f>N379/J379</f>
        <v>22</v>
      </c>
      <c r="P379" s="2">
        <v>0</v>
      </c>
      <c r="Q379" s="2">
        <v>0</v>
      </c>
      <c r="R379" s="2">
        <v>39</v>
      </c>
      <c r="S379" s="2">
        <v>1</v>
      </c>
      <c r="T379" s="2">
        <v>0</v>
      </c>
      <c r="U379" s="2">
        <v>0</v>
      </c>
      <c r="V379" s="2">
        <v>1</v>
      </c>
      <c r="W379" s="3">
        <f>V379/S379</f>
        <v>1</v>
      </c>
      <c r="X379" s="3" t="e">
        <f>V379/U379</f>
        <v>#DIV/0!</v>
      </c>
      <c r="Y379" s="4" t="e">
        <f>S379*6/U379</f>
        <v>#DIV/0!</v>
      </c>
      <c r="Z379" s="2">
        <v>0</v>
      </c>
      <c r="AA379" s="2">
        <v>0</v>
      </c>
      <c r="AB379" s="2">
        <v>0</v>
      </c>
      <c r="AC379" s="2">
        <v>0</v>
      </c>
    </row>
    <row r="380" spans="1:29" x14ac:dyDescent="0.35">
      <c r="A380" s="1" t="s">
        <v>464</v>
      </c>
      <c r="B380" s="1" t="s">
        <v>24</v>
      </c>
      <c r="C380">
        <f>D380+E380+F380+G380+H380+I380</f>
        <v>1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1</v>
      </c>
      <c r="J380" s="2">
        <v>1</v>
      </c>
      <c r="K380">
        <f>J380+L380</f>
        <v>1</v>
      </c>
      <c r="L380" s="2">
        <v>0</v>
      </c>
      <c r="M380" s="2">
        <v>0</v>
      </c>
      <c r="N380" s="2">
        <v>1</v>
      </c>
      <c r="O380" s="3">
        <f>N380/J380</f>
        <v>1</v>
      </c>
      <c r="P380" s="2">
        <v>0</v>
      </c>
      <c r="Q380" s="2">
        <v>0</v>
      </c>
      <c r="R380" s="2">
        <v>1</v>
      </c>
      <c r="S380" s="2">
        <v>16</v>
      </c>
      <c r="T380" s="2">
        <v>9</v>
      </c>
      <c r="U380" s="2">
        <v>1</v>
      </c>
      <c r="V380" s="2">
        <v>22</v>
      </c>
      <c r="W380" s="3">
        <f>V380/S380</f>
        <v>1.375</v>
      </c>
      <c r="X380" s="3">
        <f>V380/U380</f>
        <v>22</v>
      </c>
      <c r="Y380" s="4">
        <f>S380*6/U380</f>
        <v>96</v>
      </c>
      <c r="Z380" s="2">
        <v>1</v>
      </c>
      <c r="AA380" s="2">
        <v>0</v>
      </c>
      <c r="AB380" s="2">
        <v>0</v>
      </c>
      <c r="AC380" s="2">
        <v>0</v>
      </c>
    </row>
    <row r="381" spans="1:29" x14ac:dyDescent="0.35">
      <c r="A381" s="1" t="s">
        <v>465</v>
      </c>
      <c r="B381" s="1" t="s">
        <v>466</v>
      </c>
      <c r="C381">
        <f>D381+E381+F381+G381+H381+I381</f>
        <v>59</v>
      </c>
      <c r="D381" s="2">
        <v>0</v>
      </c>
      <c r="E381" s="2">
        <v>0</v>
      </c>
      <c r="F381" s="2">
        <v>0</v>
      </c>
      <c r="G381" s="2">
        <v>2</v>
      </c>
      <c r="H381" s="2">
        <v>51</v>
      </c>
      <c r="I381" s="2">
        <v>6</v>
      </c>
      <c r="J381" s="2">
        <v>38</v>
      </c>
      <c r="K381">
        <f>J381+L381</f>
        <v>47</v>
      </c>
      <c r="L381" s="2">
        <v>9</v>
      </c>
      <c r="M381" s="2">
        <v>14</v>
      </c>
      <c r="N381" s="2">
        <v>804</v>
      </c>
      <c r="O381" s="3">
        <f>N381/J381</f>
        <v>21.157894736842106</v>
      </c>
      <c r="P381" s="2">
        <v>3</v>
      </c>
      <c r="Q381" s="2">
        <v>0</v>
      </c>
      <c r="R381" s="2">
        <v>62</v>
      </c>
      <c r="S381" s="2">
        <v>572</v>
      </c>
      <c r="T381" s="2">
        <v>132</v>
      </c>
      <c r="U381" s="2">
        <v>77</v>
      </c>
      <c r="V381" s="2">
        <v>1303</v>
      </c>
      <c r="W381" s="3">
        <f>V381/S381</f>
        <v>2.2779720279720279</v>
      </c>
      <c r="X381" s="3">
        <f>V381/U381</f>
        <v>16.922077922077921</v>
      </c>
      <c r="Y381" s="4">
        <f>S381*6/U381</f>
        <v>44.571428571428569</v>
      </c>
      <c r="Z381" s="2">
        <v>4</v>
      </c>
      <c r="AA381" s="2">
        <v>0</v>
      </c>
      <c r="AB381" s="2">
        <v>0</v>
      </c>
      <c r="AC381" s="2">
        <v>11</v>
      </c>
    </row>
    <row r="382" spans="1:29" x14ac:dyDescent="0.35">
      <c r="A382" s="1" t="s">
        <v>467</v>
      </c>
      <c r="B382" s="1" t="s">
        <v>24</v>
      </c>
      <c r="C382">
        <f>D382+E382+F382+G382+H382+I382</f>
        <v>6</v>
      </c>
      <c r="D382" s="2">
        <v>0</v>
      </c>
      <c r="E382" s="2">
        <v>0</v>
      </c>
      <c r="F382" s="2">
        <v>0</v>
      </c>
      <c r="G382" s="2">
        <v>0</v>
      </c>
      <c r="H382" s="2">
        <v>1</v>
      </c>
      <c r="I382" s="2">
        <v>5</v>
      </c>
      <c r="J382" s="2">
        <v>5</v>
      </c>
      <c r="K382">
        <f>J382+L382</f>
        <v>6</v>
      </c>
      <c r="L382" s="2">
        <v>1</v>
      </c>
      <c r="M382" s="2">
        <v>1</v>
      </c>
      <c r="N382" s="2">
        <v>16</v>
      </c>
      <c r="O382" s="3">
        <f>N382/J382</f>
        <v>3.2</v>
      </c>
      <c r="P382" s="2">
        <v>0</v>
      </c>
      <c r="Q382" s="2">
        <v>0</v>
      </c>
      <c r="R382" s="2">
        <v>11</v>
      </c>
      <c r="S382" s="2">
        <v>63</v>
      </c>
      <c r="T382" s="2">
        <v>14</v>
      </c>
      <c r="U382" s="2">
        <v>10</v>
      </c>
      <c r="V382" s="2">
        <v>178</v>
      </c>
      <c r="W382" s="3">
        <f>V382/S382</f>
        <v>2.8253968253968256</v>
      </c>
      <c r="X382" s="3">
        <f>V382/U382</f>
        <v>17.8</v>
      </c>
      <c r="Y382" s="4">
        <f>S382*6/U382</f>
        <v>37.799999999999997</v>
      </c>
      <c r="Z382" s="2">
        <v>6</v>
      </c>
      <c r="AA382" s="2">
        <v>1</v>
      </c>
      <c r="AB382" s="2">
        <v>0</v>
      </c>
      <c r="AC382" s="2">
        <v>0</v>
      </c>
    </row>
    <row r="383" spans="1:29" x14ac:dyDescent="0.35">
      <c r="A383" s="1" t="s">
        <v>467</v>
      </c>
      <c r="B383" s="1" t="s">
        <v>198</v>
      </c>
      <c r="C383">
        <f>D383+E383+F383+G383+H383+I383</f>
        <v>1</v>
      </c>
      <c r="D383" s="2">
        <v>0</v>
      </c>
      <c r="E383" s="2">
        <v>0</v>
      </c>
      <c r="F383" s="2">
        <v>0</v>
      </c>
      <c r="G383" s="2">
        <v>0</v>
      </c>
      <c r="H383" s="2">
        <v>1</v>
      </c>
      <c r="I383" s="2">
        <v>0</v>
      </c>
      <c r="J383" s="2">
        <v>0</v>
      </c>
      <c r="K383">
        <f>J383+L383</f>
        <v>0</v>
      </c>
      <c r="L383" s="2">
        <v>0</v>
      </c>
      <c r="M383" s="2">
        <v>1</v>
      </c>
      <c r="N383" s="2">
        <v>0</v>
      </c>
      <c r="O383" s="3" t="e">
        <f>N383/J383</f>
        <v>#DIV/0!</v>
      </c>
      <c r="P383" s="2">
        <v>0</v>
      </c>
      <c r="Q383" s="2">
        <v>0</v>
      </c>
      <c r="R383" s="2">
        <v>0</v>
      </c>
      <c r="S383" s="2">
        <v>10</v>
      </c>
      <c r="T383" s="2">
        <v>2</v>
      </c>
      <c r="U383" s="2">
        <v>0</v>
      </c>
      <c r="V383" s="2">
        <v>16</v>
      </c>
      <c r="W383" s="3">
        <f>V383/S383</f>
        <v>1.6</v>
      </c>
      <c r="X383" s="3" t="e">
        <f>V383/U383</f>
        <v>#DIV/0!</v>
      </c>
      <c r="Y383" s="4" t="e">
        <f>S383*6/U383</f>
        <v>#DIV/0!</v>
      </c>
      <c r="Z383" s="2">
        <v>0</v>
      </c>
      <c r="AA383" s="2">
        <v>0</v>
      </c>
      <c r="AB383" s="2">
        <v>0</v>
      </c>
      <c r="AC383" s="2">
        <v>0</v>
      </c>
    </row>
    <row r="384" spans="1:29" x14ac:dyDescent="0.35">
      <c r="A384" s="1" t="s">
        <v>468</v>
      </c>
      <c r="B384" s="1" t="s">
        <v>469</v>
      </c>
      <c r="C384">
        <f>D384+E384+F384+G384+H384+I384</f>
        <v>45</v>
      </c>
      <c r="D384" s="2">
        <v>4</v>
      </c>
      <c r="E384" s="2">
        <v>36</v>
      </c>
      <c r="F384" s="2">
        <v>4</v>
      </c>
      <c r="G384" s="2">
        <v>0</v>
      </c>
      <c r="H384" s="2">
        <v>1</v>
      </c>
      <c r="I384" s="2">
        <v>0</v>
      </c>
      <c r="J384" s="2">
        <v>35</v>
      </c>
      <c r="K384">
        <f>J384+L384</f>
        <v>45</v>
      </c>
      <c r="L384" s="2">
        <v>10</v>
      </c>
      <c r="M384" s="2">
        <v>5</v>
      </c>
      <c r="N384" s="2">
        <v>674</v>
      </c>
      <c r="O384" s="3">
        <f>N384/J384</f>
        <v>19.257142857142856</v>
      </c>
      <c r="P384" s="2">
        <v>2</v>
      </c>
      <c r="Q384" s="2">
        <v>0</v>
      </c>
      <c r="R384" s="2">
        <v>79</v>
      </c>
      <c r="S384" s="2">
        <v>284</v>
      </c>
      <c r="T384" s="2">
        <v>44</v>
      </c>
      <c r="U384" s="2">
        <v>34</v>
      </c>
      <c r="V384" s="2">
        <v>922</v>
      </c>
      <c r="W384" s="3">
        <f>V384/S384</f>
        <v>3.2464788732394365</v>
      </c>
      <c r="X384" s="3">
        <f>V384/U384</f>
        <v>27.117647058823529</v>
      </c>
      <c r="Y384" s="4">
        <f>S384*6/U384</f>
        <v>50.117647058823529</v>
      </c>
      <c r="Z384" s="2">
        <v>4</v>
      </c>
      <c r="AA384" s="2">
        <v>0</v>
      </c>
      <c r="AB384" s="2">
        <v>0</v>
      </c>
      <c r="AC384" s="2">
        <v>9</v>
      </c>
    </row>
    <row r="385" spans="1:29" x14ac:dyDescent="0.35">
      <c r="A385" s="15" t="s">
        <v>470</v>
      </c>
      <c r="B385" s="15" t="s">
        <v>556</v>
      </c>
      <c r="C385" s="18">
        <f>D385+E385+F385+G385+H385+I385</f>
        <v>44</v>
      </c>
      <c r="D385" s="16">
        <v>4</v>
      </c>
      <c r="E385" s="16">
        <v>28</v>
      </c>
      <c r="F385" s="16">
        <v>5</v>
      </c>
      <c r="G385" s="16">
        <v>1</v>
      </c>
      <c r="H385" s="16">
        <v>6</v>
      </c>
      <c r="I385" s="16">
        <v>0</v>
      </c>
      <c r="J385" s="16">
        <v>25</v>
      </c>
      <c r="K385" s="18">
        <f>J385+L385</f>
        <v>34</v>
      </c>
      <c r="L385" s="16">
        <v>9</v>
      </c>
      <c r="M385" s="16">
        <v>10</v>
      </c>
      <c r="N385" s="16">
        <f>270+38</f>
        <v>308</v>
      </c>
      <c r="O385" s="19">
        <f>N385/J385</f>
        <v>12.32</v>
      </c>
      <c r="P385" s="16">
        <v>0</v>
      </c>
      <c r="Q385" s="16">
        <v>0</v>
      </c>
      <c r="R385" s="22">
        <v>33</v>
      </c>
      <c r="S385" s="22">
        <f>241+103</f>
        <v>344</v>
      </c>
      <c r="T385" s="22">
        <v>39</v>
      </c>
      <c r="U385" s="22">
        <v>60</v>
      </c>
      <c r="V385" s="22">
        <f>878+339</f>
        <v>1217</v>
      </c>
      <c r="W385" s="19">
        <f>V385/S385</f>
        <v>3.5377906976744184</v>
      </c>
      <c r="X385" s="19">
        <f>V385/U385</f>
        <v>20.283333333333335</v>
      </c>
      <c r="Y385" s="19">
        <f>79/3</f>
        <v>26.333333333333332</v>
      </c>
      <c r="Z385" s="22" t="s">
        <v>1294</v>
      </c>
      <c r="AA385" s="16">
        <v>1</v>
      </c>
      <c r="AB385" s="16">
        <v>0</v>
      </c>
      <c r="AC385" s="16">
        <v>13</v>
      </c>
    </row>
    <row r="386" spans="1:29" x14ac:dyDescent="0.35">
      <c r="A386" s="7" t="s">
        <v>470</v>
      </c>
      <c r="B386" s="7" t="s">
        <v>226</v>
      </c>
      <c r="C386">
        <f>D386+E386+F386+G386+H386+I386</f>
        <v>60</v>
      </c>
      <c r="D386" s="5">
        <v>28</v>
      </c>
      <c r="E386" s="5">
        <v>31</v>
      </c>
      <c r="F386" s="5">
        <v>0</v>
      </c>
      <c r="G386" s="5">
        <v>0</v>
      </c>
      <c r="H386" s="5">
        <v>1</v>
      </c>
      <c r="I386" s="5">
        <v>0</v>
      </c>
      <c r="J386" s="5">
        <v>44</v>
      </c>
      <c r="K386">
        <f>J386+L386</f>
        <v>50</v>
      </c>
      <c r="L386" s="5">
        <v>6</v>
      </c>
      <c r="M386" s="5">
        <v>12</v>
      </c>
      <c r="N386" s="5">
        <v>881</v>
      </c>
      <c r="O386" s="3">
        <f>N386/J386</f>
        <v>20.022727272727273</v>
      </c>
      <c r="P386" s="5">
        <v>1</v>
      </c>
      <c r="Q386" s="5">
        <v>1</v>
      </c>
      <c r="R386" s="40">
        <v>102</v>
      </c>
      <c r="S386" s="40">
        <v>441</v>
      </c>
      <c r="T386" s="40">
        <v>92</v>
      </c>
      <c r="U386" s="40">
        <v>66</v>
      </c>
      <c r="V386" s="40">
        <v>1219</v>
      </c>
      <c r="W386" s="3">
        <f>V386/S386</f>
        <v>2.7641723356009069</v>
      </c>
      <c r="X386" s="3">
        <f>V386/U386</f>
        <v>18.469696969696969</v>
      </c>
      <c r="Y386" s="4">
        <f>S386*6/U386</f>
        <v>40.090909090909093</v>
      </c>
      <c r="Z386" s="40">
        <v>5</v>
      </c>
      <c r="AA386" s="5">
        <v>0</v>
      </c>
      <c r="AB386" s="5">
        <v>0</v>
      </c>
      <c r="AC386" s="5">
        <v>9</v>
      </c>
    </row>
    <row r="387" spans="1:29" x14ac:dyDescent="0.35">
      <c r="A387" s="1" t="s">
        <v>471</v>
      </c>
      <c r="B387" s="1" t="s">
        <v>87</v>
      </c>
      <c r="C387">
        <f>D387+E387+F387+G387+H387+I387</f>
        <v>5</v>
      </c>
      <c r="D387" s="2">
        <v>0</v>
      </c>
      <c r="E387" s="2">
        <v>3</v>
      </c>
      <c r="F387" s="2">
        <v>2</v>
      </c>
      <c r="G387" s="2">
        <v>0</v>
      </c>
      <c r="H387" s="2">
        <v>0</v>
      </c>
      <c r="I387" s="2">
        <v>0</v>
      </c>
      <c r="J387" s="2">
        <v>4</v>
      </c>
      <c r="K387">
        <f>J387+L387</f>
        <v>4</v>
      </c>
      <c r="L387" s="2">
        <v>0</v>
      </c>
      <c r="M387" s="2">
        <v>1</v>
      </c>
      <c r="N387" s="2">
        <v>61</v>
      </c>
      <c r="O387" s="3">
        <f>N387/J387</f>
        <v>15.25</v>
      </c>
      <c r="P387" s="2">
        <v>0</v>
      </c>
      <c r="Q387" s="2">
        <v>0</v>
      </c>
      <c r="R387" s="2">
        <v>47</v>
      </c>
      <c r="S387" s="2">
        <v>0</v>
      </c>
      <c r="T387" s="2">
        <v>0</v>
      </c>
      <c r="U387" s="2">
        <v>0</v>
      </c>
      <c r="V387" s="2">
        <v>0</v>
      </c>
      <c r="W387" s="3" t="e">
        <f>V387/S387</f>
        <v>#DIV/0!</v>
      </c>
      <c r="X387" s="3" t="e">
        <f>V387/U387</f>
        <v>#DIV/0!</v>
      </c>
      <c r="Y387" s="4" t="e">
        <f>S387*6/U387</f>
        <v>#DIV/0!</v>
      </c>
      <c r="Z387" s="2">
        <v>0</v>
      </c>
      <c r="AA387" s="2">
        <v>0</v>
      </c>
      <c r="AB387" s="2">
        <v>0</v>
      </c>
      <c r="AC387" s="2">
        <v>3</v>
      </c>
    </row>
    <row r="388" spans="1:29" x14ac:dyDescent="0.35">
      <c r="A388" s="1" t="s">
        <v>472</v>
      </c>
      <c r="B388" s="1" t="s">
        <v>473</v>
      </c>
      <c r="C388">
        <f>D388+E388+F388+G388+H388+I388</f>
        <v>11</v>
      </c>
      <c r="D388" s="2">
        <v>0</v>
      </c>
      <c r="E388" s="2">
        <v>5</v>
      </c>
      <c r="F388" s="2">
        <v>6</v>
      </c>
      <c r="G388" s="2">
        <v>0</v>
      </c>
      <c r="H388" s="2">
        <v>0</v>
      </c>
      <c r="I388" s="2">
        <v>0</v>
      </c>
      <c r="J388" s="2">
        <v>7</v>
      </c>
      <c r="K388">
        <f>J388+L388</f>
        <v>9</v>
      </c>
      <c r="L388" s="2">
        <v>2</v>
      </c>
      <c r="M388" s="2">
        <v>2</v>
      </c>
      <c r="N388" s="2">
        <v>60</v>
      </c>
      <c r="O388" s="3">
        <f>N388/J388</f>
        <v>8.5714285714285712</v>
      </c>
      <c r="P388" s="2">
        <v>0</v>
      </c>
      <c r="Q388" s="2">
        <v>0</v>
      </c>
      <c r="R388" s="2">
        <v>29</v>
      </c>
      <c r="S388" s="2">
        <v>142</v>
      </c>
      <c r="T388" s="2">
        <v>31</v>
      </c>
      <c r="U388" s="2">
        <v>18</v>
      </c>
      <c r="V388" s="2">
        <v>385</v>
      </c>
      <c r="W388" s="3">
        <f>V388/S388</f>
        <v>2.711267605633803</v>
      </c>
      <c r="X388" s="3">
        <f>V388/U388</f>
        <v>21.388888888888889</v>
      </c>
      <c r="Y388" s="4">
        <f>S388*6/U388</f>
        <v>47.333333333333336</v>
      </c>
      <c r="Z388" s="2">
        <v>7</v>
      </c>
      <c r="AA388" s="2">
        <v>1</v>
      </c>
      <c r="AB388" s="2">
        <v>0</v>
      </c>
      <c r="AC388" s="2">
        <v>3</v>
      </c>
    </row>
    <row r="389" spans="1:29" x14ac:dyDescent="0.35">
      <c r="A389" s="1" t="s">
        <v>474</v>
      </c>
      <c r="B389" s="1" t="s">
        <v>24</v>
      </c>
      <c r="C389">
        <f>D389+E389+F389+G389+H389+I389</f>
        <v>13</v>
      </c>
      <c r="D389" s="2">
        <v>0</v>
      </c>
      <c r="E389" s="2">
        <v>0</v>
      </c>
      <c r="F389" s="2">
        <v>0</v>
      </c>
      <c r="G389" s="2">
        <v>13</v>
      </c>
      <c r="H389" s="2">
        <v>0</v>
      </c>
      <c r="I389" s="2">
        <v>0</v>
      </c>
      <c r="J389" s="2">
        <v>11</v>
      </c>
      <c r="K389">
        <f>J389+L389</f>
        <v>14</v>
      </c>
      <c r="L389" s="2">
        <v>3</v>
      </c>
      <c r="M389" s="2">
        <v>1</v>
      </c>
      <c r="N389" s="2">
        <v>166</v>
      </c>
      <c r="O389" s="3">
        <f>N389/J389</f>
        <v>15.090909090909092</v>
      </c>
      <c r="P389" s="2">
        <v>0</v>
      </c>
      <c r="Q389" s="2">
        <v>0</v>
      </c>
      <c r="R389" s="2">
        <v>46</v>
      </c>
      <c r="S389" s="2">
        <v>10</v>
      </c>
      <c r="T389" s="2">
        <v>0</v>
      </c>
      <c r="U389" s="2">
        <v>2</v>
      </c>
      <c r="V389" s="2">
        <v>33</v>
      </c>
      <c r="W389" s="3">
        <f>V389/S389</f>
        <v>3.3</v>
      </c>
      <c r="X389" s="3">
        <f>V389/U389</f>
        <v>16.5</v>
      </c>
      <c r="Y389" s="4">
        <f>S389*6/U389</f>
        <v>30</v>
      </c>
      <c r="Z389" s="2">
        <v>2</v>
      </c>
      <c r="AA389" s="2">
        <v>0</v>
      </c>
      <c r="AB389" s="2">
        <v>0</v>
      </c>
      <c r="AC389" s="2">
        <v>2</v>
      </c>
    </row>
    <row r="390" spans="1:29" x14ac:dyDescent="0.35">
      <c r="A390" s="1" t="s">
        <v>475</v>
      </c>
      <c r="B390" s="1" t="s">
        <v>110</v>
      </c>
      <c r="C390">
        <f>D390+E390+F390+G390+H390+I390</f>
        <v>1</v>
      </c>
      <c r="D390" s="2">
        <v>0</v>
      </c>
      <c r="E390" s="2">
        <v>0</v>
      </c>
      <c r="F390" s="2">
        <v>0</v>
      </c>
      <c r="G390" s="2">
        <v>0</v>
      </c>
      <c r="H390" s="2">
        <v>1</v>
      </c>
      <c r="I390" s="2">
        <v>0</v>
      </c>
      <c r="J390" s="2">
        <v>2</v>
      </c>
      <c r="K390">
        <f>J390+L390</f>
        <v>2</v>
      </c>
      <c r="L390" s="2">
        <v>0</v>
      </c>
      <c r="M390" s="2">
        <v>0</v>
      </c>
      <c r="N390" s="2">
        <v>10</v>
      </c>
      <c r="O390" s="3">
        <f>N390/J390</f>
        <v>5</v>
      </c>
      <c r="P390" s="2">
        <v>0</v>
      </c>
      <c r="Q390" s="2">
        <v>0</v>
      </c>
      <c r="R390" s="2">
        <v>6</v>
      </c>
      <c r="S390" s="2">
        <v>0</v>
      </c>
      <c r="T390" s="2">
        <v>0</v>
      </c>
      <c r="U390" s="2">
        <v>0</v>
      </c>
      <c r="V390" s="2">
        <v>0</v>
      </c>
      <c r="W390" s="3" t="e">
        <f>V390/S390</f>
        <v>#DIV/0!</v>
      </c>
      <c r="X390" s="3" t="e">
        <f>V390/U390</f>
        <v>#DIV/0!</v>
      </c>
      <c r="Y390" s="4" t="e">
        <f>S390*6/U390</f>
        <v>#DIV/0!</v>
      </c>
      <c r="Z390" s="2">
        <v>0</v>
      </c>
      <c r="AA390" s="2">
        <v>0</v>
      </c>
      <c r="AB390" s="2">
        <v>0</v>
      </c>
      <c r="AC390" s="2">
        <v>1</v>
      </c>
    </row>
    <row r="391" spans="1:29" x14ac:dyDescent="0.35">
      <c r="A391" s="1" t="s">
        <v>476</v>
      </c>
      <c r="B391" s="1" t="s">
        <v>477</v>
      </c>
      <c r="C391">
        <f>D391+E391+F391+G391+H391+I391</f>
        <v>4</v>
      </c>
      <c r="D391" s="2">
        <v>0</v>
      </c>
      <c r="E391" s="2">
        <v>0</v>
      </c>
      <c r="F391" s="2">
        <v>2</v>
      </c>
      <c r="G391" s="2">
        <v>2</v>
      </c>
      <c r="H391" s="2">
        <v>0</v>
      </c>
      <c r="I391" s="2">
        <v>0</v>
      </c>
      <c r="J391" s="2">
        <v>2</v>
      </c>
      <c r="K391">
        <f>J391+L391</f>
        <v>3</v>
      </c>
      <c r="L391" s="2">
        <v>1</v>
      </c>
      <c r="M391" s="2">
        <v>1</v>
      </c>
      <c r="N391" s="2">
        <v>78</v>
      </c>
      <c r="O391" s="3">
        <f>N391/J391</f>
        <v>39</v>
      </c>
      <c r="P391" s="2">
        <v>1</v>
      </c>
      <c r="Q391" s="2">
        <v>0</v>
      </c>
      <c r="R391" s="2">
        <v>57</v>
      </c>
      <c r="S391" s="2">
        <v>18</v>
      </c>
      <c r="T391" s="2">
        <v>0</v>
      </c>
      <c r="U391" s="2">
        <v>8</v>
      </c>
      <c r="V391" s="2">
        <v>85</v>
      </c>
      <c r="W391" s="3">
        <f>V391/S391</f>
        <v>4.7222222222222223</v>
      </c>
      <c r="X391" s="3">
        <f>V391/U391</f>
        <v>10.625</v>
      </c>
      <c r="Y391" s="4">
        <f>S391*6/U391</f>
        <v>13.5</v>
      </c>
      <c r="Z391" s="2">
        <v>3</v>
      </c>
      <c r="AA391" s="2">
        <v>0</v>
      </c>
      <c r="AB391" s="2">
        <v>0</v>
      </c>
      <c r="AC391" s="2">
        <v>0</v>
      </c>
    </row>
    <row r="392" spans="1:29" x14ac:dyDescent="0.35">
      <c r="A392" s="1" t="s">
        <v>478</v>
      </c>
      <c r="B392" s="1" t="s">
        <v>479</v>
      </c>
      <c r="C392">
        <f>D392+E392+F392+G392+H392+I392</f>
        <v>43</v>
      </c>
      <c r="D392" s="2">
        <v>5</v>
      </c>
      <c r="E392" s="2">
        <v>4</v>
      </c>
      <c r="F392" s="2">
        <v>6</v>
      </c>
      <c r="G392" s="2">
        <v>21</v>
      </c>
      <c r="H392" s="2">
        <v>7</v>
      </c>
      <c r="I392" s="2">
        <v>0</v>
      </c>
      <c r="J392" s="2">
        <v>34</v>
      </c>
      <c r="K392">
        <f>J392+L392</f>
        <v>40</v>
      </c>
      <c r="L392" s="2">
        <v>6</v>
      </c>
      <c r="M392" s="2">
        <v>4</v>
      </c>
      <c r="N392" s="2">
        <f>991+321</f>
        <v>1312</v>
      </c>
      <c r="O392" s="3">
        <f>N392/J392</f>
        <v>38.588235294117645</v>
      </c>
      <c r="P392" s="2">
        <v>8</v>
      </c>
      <c r="Q392" s="2">
        <v>2</v>
      </c>
      <c r="R392" s="2">
        <v>116</v>
      </c>
      <c r="S392" s="2">
        <f>222+51</f>
        <v>273</v>
      </c>
      <c r="T392" s="2">
        <v>34</v>
      </c>
      <c r="U392" s="2">
        <v>52</v>
      </c>
      <c r="V392" s="2">
        <f>718+182</f>
        <v>900</v>
      </c>
      <c r="W392" s="3">
        <f>V392/S392</f>
        <v>3.2967032967032965</v>
      </c>
      <c r="X392" s="3">
        <f>V392/U392</f>
        <v>17.307692307692307</v>
      </c>
      <c r="Y392" s="4">
        <f>S392*6/U392</f>
        <v>31.5</v>
      </c>
      <c r="Z392" s="2">
        <v>4</v>
      </c>
      <c r="AA392" s="2">
        <v>0</v>
      </c>
      <c r="AB392" s="2">
        <v>0</v>
      </c>
      <c r="AC392" s="2">
        <v>4</v>
      </c>
    </row>
    <row r="393" spans="1:29" x14ac:dyDescent="0.35">
      <c r="A393" s="1" t="s">
        <v>480</v>
      </c>
      <c r="B393" s="1" t="s">
        <v>481</v>
      </c>
      <c r="C393">
        <f>D393+E393+F393+G393+H393+I393</f>
        <v>8</v>
      </c>
      <c r="D393" s="2">
        <v>0</v>
      </c>
      <c r="E393" s="2">
        <v>0</v>
      </c>
      <c r="F393" s="2">
        <v>0</v>
      </c>
      <c r="G393" s="2">
        <v>8</v>
      </c>
      <c r="H393" s="2">
        <v>0</v>
      </c>
      <c r="I393" s="2">
        <v>0</v>
      </c>
      <c r="J393" s="2">
        <v>5</v>
      </c>
      <c r="K393">
        <f>J393+L393</f>
        <v>6</v>
      </c>
      <c r="L393" s="2">
        <v>1</v>
      </c>
      <c r="M393" s="2">
        <v>2</v>
      </c>
      <c r="N393" s="2">
        <v>45</v>
      </c>
      <c r="O393" s="3">
        <f>N393/J393</f>
        <v>9</v>
      </c>
      <c r="P393" s="2">
        <v>0</v>
      </c>
      <c r="Q393" s="2">
        <v>0</v>
      </c>
      <c r="R393" s="2">
        <v>17</v>
      </c>
      <c r="S393" s="2">
        <v>17</v>
      </c>
      <c r="T393" s="2">
        <v>1</v>
      </c>
      <c r="U393" s="2">
        <v>1</v>
      </c>
      <c r="V393" s="2">
        <v>100</v>
      </c>
      <c r="W393" s="3">
        <f>V393/S393</f>
        <v>5.882352941176471</v>
      </c>
      <c r="X393" s="3">
        <f>V393/U393</f>
        <v>100</v>
      </c>
      <c r="Y393" s="4">
        <f>S393*6/U393</f>
        <v>102</v>
      </c>
      <c r="Z393" s="2">
        <v>1</v>
      </c>
      <c r="AA393" s="2">
        <v>0</v>
      </c>
      <c r="AB393" s="2">
        <v>0</v>
      </c>
      <c r="AC393" s="2">
        <v>0</v>
      </c>
    </row>
    <row r="394" spans="1:29" x14ac:dyDescent="0.35">
      <c r="A394" s="1" t="s">
        <v>482</v>
      </c>
      <c r="B394" s="1" t="s">
        <v>483</v>
      </c>
      <c r="C394">
        <f>D394+E394+F394+G394+H394+I394</f>
        <v>9</v>
      </c>
      <c r="D394" s="2">
        <v>0</v>
      </c>
      <c r="E394" s="2">
        <v>0</v>
      </c>
      <c r="F394" s="2">
        <v>0</v>
      </c>
      <c r="G394" s="2">
        <v>0</v>
      </c>
      <c r="H394" s="2">
        <v>7</v>
      </c>
      <c r="I394" s="2">
        <v>2</v>
      </c>
      <c r="J394" s="2">
        <v>5</v>
      </c>
      <c r="K394">
        <f>J394+L394</f>
        <v>7</v>
      </c>
      <c r="L394" s="2">
        <v>2</v>
      </c>
      <c r="M394" s="2">
        <v>3</v>
      </c>
      <c r="N394" s="2">
        <v>31</v>
      </c>
      <c r="O394" s="3">
        <f>N394/J394</f>
        <v>6.2</v>
      </c>
      <c r="P394" s="2">
        <v>0</v>
      </c>
      <c r="Q394" s="2">
        <v>0</v>
      </c>
      <c r="R394" s="2">
        <v>10</v>
      </c>
      <c r="S394" s="2">
        <v>58</v>
      </c>
      <c r="T394" s="2">
        <v>7</v>
      </c>
      <c r="U394" s="2">
        <v>9</v>
      </c>
      <c r="V394" s="2">
        <v>162</v>
      </c>
      <c r="W394" s="3">
        <f>V394/S394</f>
        <v>2.7931034482758621</v>
      </c>
      <c r="X394" s="3">
        <f>V394/U394</f>
        <v>18</v>
      </c>
      <c r="Y394" s="4">
        <f>S394*6/U394</f>
        <v>38.666666666666664</v>
      </c>
      <c r="Z394" s="2">
        <v>4</v>
      </c>
      <c r="AA394" s="2">
        <v>0</v>
      </c>
      <c r="AB394" s="2">
        <v>0</v>
      </c>
      <c r="AC394" s="2">
        <v>0</v>
      </c>
    </row>
    <row r="395" spans="1:29" x14ac:dyDescent="0.35">
      <c r="A395" s="1" t="s">
        <v>484</v>
      </c>
      <c r="B395" s="1" t="s">
        <v>485</v>
      </c>
      <c r="C395">
        <f>D395+E395+F395+G395+H395+I395</f>
        <v>21</v>
      </c>
      <c r="D395" s="2">
        <v>0</v>
      </c>
      <c r="E395" s="2">
        <v>1</v>
      </c>
      <c r="F395" s="2">
        <v>10</v>
      </c>
      <c r="G395" s="2">
        <v>10</v>
      </c>
      <c r="H395" s="2">
        <v>0</v>
      </c>
      <c r="I395" s="2">
        <v>0</v>
      </c>
      <c r="J395" s="2">
        <v>14</v>
      </c>
      <c r="K395">
        <f>J395+L395</f>
        <v>16</v>
      </c>
      <c r="L395" s="2">
        <v>2</v>
      </c>
      <c r="M395" s="2">
        <v>7</v>
      </c>
      <c r="N395" s="2">
        <v>154</v>
      </c>
      <c r="O395" s="3">
        <f>N395/J395</f>
        <v>11</v>
      </c>
      <c r="P395" s="2">
        <v>1</v>
      </c>
      <c r="Q395" s="2">
        <v>0</v>
      </c>
      <c r="R395" s="2">
        <v>50</v>
      </c>
      <c r="S395" s="2">
        <v>225</v>
      </c>
      <c r="T395" s="2">
        <v>58</v>
      </c>
      <c r="U395" s="2">
        <v>38</v>
      </c>
      <c r="V395" s="2">
        <v>619</v>
      </c>
      <c r="W395" s="3">
        <f>V395/S395</f>
        <v>2.7511111111111113</v>
      </c>
      <c r="X395" s="3">
        <f>V395/U395</f>
        <v>16.289473684210527</v>
      </c>
      <c r="Y395" s="4">
        <f>S395*6/U395</f>
        <v>35.526315789473685</v>
      </c>
      <c r="Z395" s="2">
        <v>4</v>
      </c>
      <c r="AA395" s="2">
        <v>0</v>
      </c>
      <c r="AB395" s="2">
        <v>0</v>
      </c>
      <c r="AC395" s="2">
        <v>6</v>
      </c>
    </row>
    <row r="396" spans="1:29" x14ac:dyDescent="0.35">
      <c r="A396" s="1" t="s">
        <v>484</v>
      </c>
      <c r="B396" s="1" t="s">
        <v>486</v>
      </c>
      <c r="C396">
        <f>D396+E396+F396+G396+H396+I396</f>
        <v>2</v>
      </c>
      <c r="D396" s="2">
        <v>0</v>
      </c>
      <c r="E396" s="2">
        <v>0</v>
      </c>
      <c r="F396" s="2">
        <v>0</v>
      </c>
      <c r="G396" s="2">
        <v>0</v>
      </c>
      <c r="H396" s="2">
        <v>1</v>
      </c>
      <c r="I396" s="2">
        <v>1</v>
      </c>
      <c r="J396" s="2">
        <v>2</v>
      </c>
      <c r="K396">
        <f>J396+L396</f>
        <v>2</v>
      </c>
      <c r="L396" s="2">
        <v>0</v>
      </c>
      <c r="M396" s="2">
        <v>0</v>
      </c>
      <c r="N396" s="2">
        <v>9</v>
      </c>
      <c r="O396" s="3">
        <f>N396/J396</f>
        <v>4.5</v>
      </c>
      <c r="P396" s="2">
        <v>0</v>
      </c>
      <c r="Q396" s="2">
        <v>0</v>
      </c>
      <c r="R396" s="2">
        <v>9</v>
      </c>
      <c r="S396" s="2">
        <v>1</v>
      </c>
      <c r="T396" s="2">
        <v>0</v>
      </c>
      <c r="U396" s="2">
        <v>0</v>
      </c>
      <c r="V396" s="2">
        <v>3</v>
      </c>
      <c r="W396" s="3">
        <f>V396/S396</f>
        <v>3</v>
      </c>
      <c r="X396" s="3" t="e">
        <f>V396/U396</f>
        <v>#DIV/0!</v>
      </c>
      <c r="Y396" s="4" t="e">
        <f>S396*6/U396</f>
        <v>#DIV/0!</v>
      </c>
      <c r="Z396" s="2">
        <v>0</v>
      </c>
      <c r="AA396" s="2">
        <v>0</v>
      </c>
      <c r="AB396" s="2">
        <v>0</v>
      </c>
      <c r="AC396" s="2">
        <v>0</v>
      </c>
    </row>
    <row r="397" spans="1:29" x14ac:dyDescent="0.35">
      <c r="A397" s="1" t="s">
        <v>487</v>
      </c>
      <c r="B397" s="1" t="s">
        <v>97</v>
      </c>
      <c r="C397">
        <f>D397+E397+F397+G397+H397+I397</f>
        <v>50</v>
      </c>
      <c r="D397" s="2">
        <v>28</v>
      </c>
      <c r="E397" s="2">
        <v>19</v>
      </c>
      <c r="F397" s="2">
        <v>2</v>
      </c>
      <c r="G397" s="2">
        <v>1</v>
      </c>
      <c r="H397" s="2">
        <v>0</v>
      </c>
      <c r="I397" s="2">
        <v>0</v>
      </c>
      <c r="J397" s="2">
        <v>22</v>
      </c>
      <c r="K397">
        <f>J397+L397</f>
        <v>32</v>
      </c>
      <c r="L397" s="2">
        <v>10</v>
      </c>
      <c r="M397" s="2">
        <v>15</v>
      </c>
      <c r="N397" s="2">
        <f>329+37</f>
        <v>366</v>
      </c>
      <c r="O397" s="3">
        <f>N397/J397</f>
        <v>16.636363636363637</v>
      </c>
      <c r="P397" s="2">
        <v>1</v>
      </c>
      <c r="Q397" s="2">
        <v>0</v>
      </c>
      <c r="R397" s="2" t="s">
        <v>1313</v>
      </c>
      <c r="S397" s="2">
        <v>182</v>
      </c>
      <c r="T397" s="2">
        <v>29</v>
      </c>
      <c r="U397" s="2">
        <v>27</v>
      </c>
      <c r="V397" s="2">
        <f>628+52</f>
        <v>680</v>
      </c>
      <c r="W397" s="3">
        <f>V397/S397</f>
        <v>3.7362637362637363</v>
      </c>
      <c r="X397" s="3">
        <f>V397/U397</f>
        <v>25.185185185185187</v>
      </c>
      <c r="Y397" s="4">
        <f>S397*6/U397</f>
        <v>40.444444444444443</v>
      </c>
      <c r="Z397" s="2" t="s">
        <v>1126</v>
      </c>
      <c r="AA397" s="2">
        <v>0</v>
      </c>
      <c r="AB397" s="2">
        <v>0</v>
      </c>
      <c r="AC397" s="2">
        <v>28</v>
      </c>
    </row>
    <row r="398" spans="1:29" x14ac:dyDescent="0.35">
      <c r="A398" s="1" t="s">
        <v>488</v>
      </c>
      <c r="B398" s="1" t="s">
        <v>489</v>
      </c>
      <c r="C398">
        <f>D398+E398+F398+G398+H398+I398</f>
        <v>1</v>
      </c>
      <c r="D398" s="2">
        <v>0</v>
      </c>
      <c r="E398" s="2">
        <v>0</v>
      </c>
      <c r="F398" s="2">
        <v>0</v>
      </c>
      <c r="G398" s="2">
        <v>1</v>
      </c>
      <c r="H398" s="2">
        <v>0</v>
      </c>
      <c r="I398" s="2">
        <v>0</v>
      </c>
      <c r="J398" s="2">
        <v>1</v>
      </c>
      <c r="K398">
        <f>J398+L398</f>
        <v>1</v>
      </c>
      <c r="L398" s="2">
        <v>0</v>
      </c>
      <c r="M398" s="2">
        <v>0</v>
      </c>
      <c r="N398" s="2">
        <v>3</v>
      </c>
      <c r="O398" s="3">
        <f>N398/J398</f>
        <v>3</v>
      </c>
      <c r="P398" s="2">
        <v>0</v>
      </c>
      <c r="Q398" s="2">
        <v>0</v>
      </c>
      <c r="R398" s="2">
        <v>3</v>
      </c>
      <c r="S398" s="2">
        <v>0</v>
      </c>
      <c r="T398" s="2">
        <v>0</v>
      </c>
      <c r="U398" s="2">
        <v>0</v>
      </c>
      <c r="V398" s="2">
        <v>0</v>
      </c>
      <c r="W398" s="3" t="e">
        <f>V398/S398</f>
        <v>#DIV/0!</v>
      </c>
      <c r="X398" s="3" t="e">
        <f>V398/U398</f>
        <v>#DIV/0!</v>
      </c>
      <c r="Y398" s="4" t="e">
        <f>S398*6/U398</f>
        <v>#DIV/0!</v>
      </c>
      <c r="Z398" s="2">
        <v>0</v>
      </c>
      <c r="AA398" s="2">
        <v>0</v>
      </c>
      <c r="AB398" s="2">
        <v>0</v>
      </c>
      <c r="AC398" s="2">
        <v>0</v>
      </c>
    </row>
    <row r="399" spans="1:29" x14ac:dyDescent="0.35">
      <c r="A399" s="1" t="s">
        <v>490</v>
      </c>
      <c r="B399" s="1" t="s">
        <v>477</v>
      </c>
      <c r="C399">
        <f>D399+E399+F399+G399+H399+I399</f>
        <v>17</v>
      </c>
      <c r="D399" s="2">
        <v>17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13</v>
      </c>
      <c r="K399">
        <f>J399+L399</f>
        <v>15</v>
      </c>
      <c r="L399" s="2">
        <v>2</v>
      </c>
      <c r="M399" s="2">
        <v>2</v>
      </c>
      <c r="N399" s="2">
        <v>378</v>
      </c>
      <c r="O399" s="3">
        <f>N399/J399</f>
        <v>29.076923076923077</v>
      </c>
      <c r="P399" s="2">
        <v>2</v>
      </c>
      <c r="Q399" s="2">
        <v>0</v>
      </c>
      <c r="R399" s="2">
        <v>61</v>
      </c>
      <c r="S399" s="2">
        <v>185</v>
      </c>
      <c r="T399" s="2">
        <v>60</v>
      </c>
      <c r="U399" s="2">
        <v>28</v>
      </c>
      <c r="V399" s="2">
        <v>391</v>
      </c>
      <c r="W399" s="3">
        <f>V399/S399</f>
        <v>2.1135135135135137</v>
      </c>
      <c r="X399" s="3">
        <f>V399/U399</f>
        <v>13.964285714285714</v>
      </c>
      <c r="Y399" s="4">
        <f>S399*6/U399</f>
        <v>39.642857142857146</v>
      </c>
      <c r="Z399" s="2">
        <v>6</v>
      </c>
      <c r="AA399" s="2">
        <v>1</v>
      </c>
      <c r="AB399" s="2">
        <v>0</v>
      </c>
      <c r="AC399" s="2">
        <v>3</v>
      </c>
    </row>
    <row r="400" spans="1:29" x14ac:dyDescent="0.35">
      <c r="A400" s="1" t="s">
        <v>491</v>
      </c>
      <c r="B400" s="1" t="s">
        <v>492</v>
      </c>
      <c r="C400">
        <f>D400+E400+F400+G400+H400+I400</f>
        <v>1</v>
      </c>
      <c r="D400" s="2">
        <v>0</v>
      </c>
      <c r="E400" s="2">
        <v>0</v>
      </c>
      <c r="F400" s="2">
        <v>0</v>
      </c>
      <c r="G400" s="2">
        <v>1</v>
      </c>
      <c r="H400" s="2">
        <v>0</v>
      </c>
      <c r="I400" s="2">
        <v>0</v>
      </c>
      <c r="J400" s="2">
        <v>1</v>
      </c>
      <c r="K400">
        <f>J400+L400</f>
        <v>1</v>
      </c>
      <c r="L400" s="2">
        <v>0</v>
      </c>
      <c r="M400" s="2">
        <v>0</v>
      </c>
      <c r="N400" s="2">
        <v>11</v>
      </c>
      <c r="O400" s="3">
        <f>N400/J400</f>
        <v>11</v>
      </c>
      <c r="P400" s="2">
        <v>0</v>
      </c>
      <c r="Q400" s="2">
        <v>0</v>
      </c>
      <c r="R400" s="2">
        <v>11</v>
      </c>
      <c r="S400" s="2">
        <v>1</v>
      </c>
      <c r="T400" s="2">
        <v>0</v>
      </c>
      <c r="U400" s="2">
        <v>0</v>
      </c>
      <c r="V400" s="2">
        <v>9</v>
      </c>
      <c r="W400" s="3">
        <f>V400/S400</f>
        <v>9</v>
      </c>
      <c r="X400" s="3" t="e">
        <f>V400/U400</f>
        <v>#DIV/0!</v>
      </c>
      <c r="Y400" s="4" t="e">
        <f>S400*6/U400</f>
        <v>#DIV/0!</v>
      </c>
      <c r="Z400" s="2">
        <v>0</v>
      </c>
      <c r="AA400" s="2">
        <v>0</v>
      </c>
      <c r="AB400" s="2">
        <v>0</v>
      </c>
      <c r="AC400" s="2">
        <v>0</v>
      </c>
    </row>
    <row r="401" spans="1:29" x14ac:dyDescent="0.35">
      <c r="A401" s="1" t="s">
        <v>493</v>
      </c>
      <c r="B401" s="1" t="s">
        <v>198</v>
      </c>
      <c r="C401">
        <f>D401+E401+F401+G401+H401+I401</f>
        <v>8</v>
      </c>
      <c r="D401" s="2">
        <v>0</v>
      </c>
      <c r="E401" s="2">
        <v>0</v>
      </c>
      <c r="F401" s="2">
        <v>0</v>
      </c>
      <c r="G401" s="2">
        <v>5</v>
      </c>
      <c r="H401" s="2">
        <v>3</v>
      </c>
      <c r="I401" s="2">
        <v>0</v>
      </c>
      <c r="J401" s="2">
        <v>9</v>
      </c>
      <c r="K401">
        <f>J401+L401</f>
        <v>9</v>
      </c>
      <c r="L401" s="2">
        <v>0</v>
      </c>
      <c r="M401" s="2">
        <v>0</v>
      </c>
      <c r="N401" s="2">
        <v>253</v>
      </c>
      <c r="O401" s="3">
        <f>N401/J401</f>
        <v>28.111111111111111</v>
      </c>
      <c r="P401" s="2">
        <v>1</v>
      </c>
      <c r="Q401" s="2">
        <v>1</v>
      </c>
      <c r="R401" s="2">
        <v>103</v>
      </c>
      <c r="S401" s="2">
        <v>1</v>
      </c>
      <c r="T401" s="2">
        <v>0</v>
      </c>
      <c r="U401" s="2">
        <v>0</v>
      </c>
      <c r="V401" s="2">
        <v>5</v>
      </c>
      <c r="W401" s="3">
        <f>V401/S401</f>
        <v>5</v>
      </c>
      <c r="X401" s="3" t="e">
        <f>V401/U401</f>
        <v>#DIV/0!</v>
      </c>
      <c r="Y401" s="4" t="e">
        <f>S401*6/U401</f>
        <v>#DIV/0!</v>
      </c>
      <c r="Z401" s="2">
        <v>0</v>
      </c>
      <c r="AA401" s="2">
        <v>0</v>
      </c>
      <c r="AB401" s="2">
        <v>0</v>
      </c>
      <c r="AC401" s="2">
        <v>0</v>
      </c>
    </row>
    <row r="402" spans="1:29" x14ac:dyDescent="0.35">
      <c r="A402" s="1" t="s">
        <v>494</v>
      </c>
      <c r="B402" s="1" t="s">
        <v>66</v>
      </c>
      <c r="C402">
        <f>D402+E402+F402+G402+H402+I402</f>
        <v>42</v>
      </c>
      <c r="D402" s="2">
        <v>0</v>
      </c>
      <c r="E402" s="2">
        <v>7</v>
      </c>
      <c r="F402" s="2">
        <v>11</v>
      </c>
      <c r="G402" s="2">
        <v>15</v>
      </c>
      <c r="H402" s="2">
        <v>7</v>
      </c>
      <c r="I402" s="2">
        <v>2</v>
      </c>
      <c r="J402" s="2">
        <v>59</v>
      </c>
      <c r="K402">
        <f>J402+L402</f>
        <v>59</v>
      </c>
      <c r="L402" s="2">
        <v>0</v>
      </c>
      <c r="M402" s="2">
        <v>5</v>
      </c>
      <c r="N402" s="2">
        <v>1425</v>
      </c>
      <c r="O402" s="3">
        <f>N402/J402</f>
        <v>24.152542372881356</v>
      </c>
      <c r="P402" s="2">
        <v>7</v>
      </c>
      <c r="Q402" s="2">
        <v>2</v>
      </c>
      <c r="R402" s="2">
        <v>130</v>
      </c>
      <c r="S402" s="2">
        <v>18</v>
      </c>
      <c r="T402" s="2">
        <v>2</v>
      </c>
      <c r="U402" s="2">
        <v>1</v>
      </c>
      <c r="V402" s="2">
        <v>101</v>
      </c>
      <c r="W402" s="3">
        <f>V402/S402</f>
        <v>5.6111111111111107</v>
      </c>
      <c r="X402" s="3">
        <f>V402/U402</f>
        <v>101</v>
      </c>
      <c r="Y402" s="4">
        <f>S402*6/U402</f>
        <v>108</v>
      </c>
      <c r="Z402" s="2">
        <v>1</v>
      </c>
      <c r="AA402" s="2">
        <v>0</v>
      </c>
      <c r="AB402" s="2">
        <v>0</v>
      </c>
      <c r="AC402" s="2">
        <v>29</v>
      </c>
    </row>
    <row r="403" spans="1:29" x14ac:dyDescent="0.35">
      <c r="A403" s="1" t="s">
        <v>494</v>
      </c>
      <c r="B403" s="1" t="s">
        <v>449</v>
      </c>
      <c r="C403">
        <f>D403+E403+F403+G403+H403+I403</f>
        <v>6</v>
      </c>
      <c r="D403" s="2">
        <v>1</v>
      </c>
      <c r="E403" s="2">
        <v>4</v>
      </c>
      <c r="F403" s="2">
        <v>1</v>
      </c>
      <c r="G403" s="2">
        <v>0</v>
      </c>
      <c r="H403" s="2">
        <v>0</v>
      </c>
      <c r="I403" s="2">
        <v>0</v>
      </c>
      <c r="J403" s="2">
        <v>4</v>
      </c>
      <c r="K403">
        <f>J403+L403</f>
        <v>5</v>
      </c>
      <c r="L403" s="2">
        <v>1</v>
      </c>
      <c r="M403" s="2">
        <v>1</v>
      </c>
      <c r="N403" s="2">
        <v>17</v>
      </c>
      <c r="O403" s="3">
        <f>N403/J403</f>
        <v>4.25</v>
      </c>
      <c r="P403" s="2">
        <v>0</v>
      </c>
      <c r="Q403" s="2">
        <v>0</v>
      </c>
      <c r="R403" s="2">
        <v>9</v>
      </c>
      <c r="S403" s="2">
        <v>63</v>
      </c>
      <c r="T403" s="2">
        <v>14</v>
      </c>
      <c r="U403" s="2">
        <v>6</v>
      </c>
      <c r="V403" s="2">
        <v>148</v>
      </c>
      <c r="W403" s="3">
        <f>V403/S403</f>
        <v>2.3492063492063493</v>
      </c>
      <c r="X403" s="3">
        <f>V403/U403</f>
        <v>24.666666666666668</v>
      </c>
      <c r="Y403" s="4">
        <f>S403*6/U403</f>
        <v>63</v>
      </c>
      <c r="Z403" s="2">
        <v>3</v>
      </c>
      <c r="AA403" s="2">
        <v>0</v>
      </c>
      <c r="AB403" s="2">
        <v>0</v>
      </c>
      <c r="AC403" s="2">
        <v>3</v>
      </c>
    </row>
    <row r="404" spans="1:29" x14ac:dyDescent="0.35">
      <c r="A404" s="1" t="s">
        <v>494</v>
      </c>
      <c r="B404" s="1" t="s">
        <v>495</v>
      </c>
      <c r="C404">
        <f>D404+E404+F404+G404+H404+I404</f>
        <v>13</v>
      </c>
      <c r="D404" s="2">
        <v>0</v>
      </c>
      <c r="E404" s="2">
        <v>0</v>
      </c>
      <c r="F404" s="2">
        <v>0</v>
      </c>
      <c r="G404" s="2">
        <v>1</v>
      </c>
      <c r="H404" s="2">
        <v>12</v>
      </c>
      <c r="I404" s="2">
        <v>0</v>
      </c>
      <c r="J404" s="2">
        <v>11</v>
      </c>
      <c r="K404">
        <f>J404+L404</f>
        <v>12</v>
      </c>
      <c r="L404" s="2">
        <v>1</v>
      </c>
      <c r="M404" s="2">
        <v>3</v>
      </c>
      <c r="N404" s="2">
        <v>205</v>
      </c>
      <c r="O404" s="3">
        <f>N404/J404</f>
        <v>18.636363636363637</v>
      </c>
      <c r="P404" s="2">
        <v>0</v>
      </c>
      <c r="Q404" s="2">
        <v>0</v>
      </c>
      <c r="R404" s="2">
        <v>48</v>
      </c>
      <c r="S404" s="2">
        <v>146</v>
      </c>
      <c r="T404" s="2">
        <v>20</v>
      </c>
      <c r="U404" s="2">
        <v>27</v>
      </c>
      <c r="V404" s="2">
        <v>474</v>
      </c>
      <c r="W404" s="3">
        <f>V404/S404</f>
        <v>3.2465753424657535</v>
      </c>
      <c r="X404" s="3">
        <f>V404/U404</f>
        <v>17.555555555555557</v>
      </c>
      <c r="Y404" s="4">
        <f>S404*6/U404</f>
        <v>32.444444444444443</v>
      </c>
      <c r="Z404" s="2">
        <v>4</v>
      </c>
      <c r="AA404" s="2">
        <v>0</v>
      </c>
      <c r="AB404" s="2">
        <v>0</v>
      </c>
      <c r="AC404" s="2">
        <v>2</v>
      </c>
    </row>
    <row r="405" spans="1:29" x14ac:dyDescent="0.35">
      <c r="A405" s="1" t="s">
        <v>496</v>
      </c>
      <c r="B405" s="1" t="s">
        <v>87</v>
      </c>
      <c r="C405">
        <f>D405+E405+F405+G405+H405+I405</f>
        <v>75</v>
      </c>
      <c r="D405" s="2">
        <v>62</v>
      </c>
      <c r="E405" s="2">
        <v>11</v>
      </c>
      <c r="F405" s="2">
        <v>0</v>
      </c>
      <c r="G405" s="2">
        <v>0</v>
      </c>
      <c r="H405" s="2">
        <v>1</v>
      </c>
      <c r="I405" s="2">
        <v>1</v>
      </c>
      <c r="J405" s="2">
        <v>54</v>
      </c>
      <c r="K405">
        <f>J405+L405</f>
        <v>69</v>
      </c>
      <c r="L405" s="2">
        <v>15</v>
      </c>
      <c r="M405" s="2">
        <v>8</v>
      </c>
      <c r="N405" s="2">
        <v>1900</v>
      </c>
      <c r="O405" s="3">
        <f>N405/J405</f>
        <v>35.185185185185183</v>
      </c>
      <c r="P405" s="2">
        <v>11</v>
      </c>
      <c r="Q405" s="2">
        <v>2</v>
      </c>
      <c r="R405" s="2">
        <v>104</v>
      </c>
      <c r="S405" s="2">
        <v>0</v>
      </c>
      <c r="T405" s="2">
        <v>0</v>
      </c>
      <c r="U405" s="2">
        <v>0</v>
      </c>
      <c r="V405" s="2">
        <v>0</v>
      </c>
      <c r="W405" s="3" t="e">
        <f>V405/S405</f>
        <v>#DIV/0!</v>
      </c>
      <c r="X405" s="3" t="e">
        <f>V405/U405</f>
        <v>#DIV/0!</v>
      </c>
      <c r="Y405" s="4" t="e">
        <f>S405*6/U405</f>
        <v>#DIV/0!</v>
      </c>
      <c r="Z405" s="2">
        <v>0</v>
      </c>
      <c r="AA405" s="2">
        <v>0</v>
      </c>
      <c r="AB405" s="2">
        <v>0</v>
      </c>
      <c r="AC405" s="2">
        <v>92</v>
      </c>
    </row>
    <row r="406" spans="1:29" x14ac:dyDescent="0.35">
      <c r="A406" s="1" t="s">
        <v>497</v>
      </c>
      <c r="B406" s="1" t="s">
        <v>498</v>
      </c>
      <c r="C406">
        <f>D406+E406+F406+G406+H406+I406</f>
        <v>164</v>
      </c>
      <c r="D406" s="2">
        <v>4</v>
      </c>
      <c r="E406" s="2">
        <v>6</v>
      </c>
      <c r="F406" s="2">
        <v>10</v>
      </c>
      <c r="G406" s="2">
        <v>66</v>
      </c>
      <c r="H406" s="2">
        <v>74</v>
      </c>
      <c r="I406" s="2">
        <v>4</v>
      </c>
      <c r="J406" s="2">
        <v>114</v>
      </c>
      <c r="K406">
        <f>J406+L406</f>
        <v>151</v>
      </c>
      <c r="L406" s="2">
        <v>37</v>
      </c>
      <c r="M406" s="2">
        <v>24</v>
      </c>
      <c r="N406" s="2">
        <v>4320</v>
      </c>
      <c r="O406" s="3">
        <f>N406/J406</f>
        <v>37.89473684210526</v>
      </c>
      <c r="P406" s="2">
        <v>21</v>
      </c>
      <c r="Q406" s="2">
        <v>5</v>
      </c>
      <c r="R406" s="2">
        <v>137</v>
      </c>
      <c r="S406" s="2">
        <v>379</v>
      </c>
      <c r="T406" s="2">
        <v>73</v>
      </c>
      <c r="U406" s="2">
        <v>59</v>
      </c>
      <c r="V406" s="2">
        <v>1127</v>
      </c>
      <c r="W406" s="3">
        <f>V406/S406</f>
        <v>2.9736147757255935</v>
      </c>
      <c r="X406" s="3">
        <f>V406/U406</f>
        <v>19.101694915254239</v>
      </c>
      <c r="Y406" s="4">
        <f>S406*6/U406</f>
        <v>38.542372881355931</v>
      </c>
      <c r="Z406" s="2">
        <v>6</v>
      </c>
      <c r="AA406" s="2">
        <v>0</v>
      </c>
      <c r="AB406" s="2">
        <v>0</v>
      </c>
      <c r="AC406" s="2">
        <v>65</v>
      </c>
    </row>
    <row r="407" spans="1:29" x14ac:dyDescent="0.35">
      <c r="A407" s="15" t="s">
        <v>497</v>
      </c>
      <c r="B407" s="15" t="s">
        <v>190</v>
      </c>
      <c r="C407" s="18">
        <f>D407+E407+F407+G407+H407+I407</f>
        <v>95</v>
      </c>
      <c r="D407" s="16">
        <v>51</v>
      </c>
      <c r="E407" s="16">
        <f>27+5</f>
        <v>32</v>
      </c>
      <c r="F407" s="16">
        <v>8</v>
      </c>
      <c r="G407" s="16">
        <v>0</v>
      </c>
      <c r="H407" s="16">
        <v>2</v>
      </c>
      <c r="I407" s="16">
        <v>2</v>
      </c>
      <c r="J407" s="16">
        <v>79</v>
      </c>
      <c r="K407" s="18">
        <f>J407+L407</f>
        <v>91</v>
      </c>
      <c r="L407" s="16">
        <v>12</v>
      </c>
      <c r="M407" s="16">
        <v>8</v>
      </c>
      <c r="N407" s="16">
        <f>2302+160</f>
        <v>2462</v>
      </c>
      <c r="O407" s="19">
        <f>N407/J407</f>
        <v>31.164556962025316</v>
      </c>
      <c r="P407" s="16">
        <v>14</v>
      </c>
      <c r="Q407" s="16">
        <v>1</v>
      </c>
      <c r="R407" s="16">
        <v>112</v>
      </c>
      <c r="S407" s="16">
        <f>65+8</f>
        <v>73</v>
      </c>
      <c r="T407" s="16">
        <v>6</v>
      </c>
      <c r="U407" s="16">
        <v>13</v>
      </c>
      <c r="V407" s="16">
        <f>232+32</f>
        <v>264</v>
      </c>
      <c r="W407" s="19">
        <f>V407/S407</f>
        <v>3.6164383561643834</v>
      </c>
      <c r="X407" s="19">
        <f>V407/U407</f>
        <v>20.307692307692307</v>
      </c>
      <c r="Y407" s="20">
        <f>S407*6/U407</f>
        <v>33.692307692307693</v>
      </c>
      <c r="Z407" s="16">
        <v>4</v>
      </c>
      <c r="AA407" s="16">
        <v>0</v>
      </c>
      <c r="AB407" s="16">
        <v>0</v>
      </c>
      <c r="AC407" s="16">
        <v>21</v>
      </c>
    </row>
    <row r="408" spans="1:29" x14ac:dyDescent="0.35">
      <c r="A408" s="1" t="s">
        <v>499</v>
      </c>
      <c r="B408" s="1" t="s">
        <v>66</v>
      </c>
      <c r="C408">
        <f>D408+E408+F408+G408+H408+I408</f>
        <v>14</v>
      </c>
      <c r="D408" s="2">
        <v>0</v>
      </c>
      <c r="E408" s="2">
        <v>0</v>
      </c>
      <c r="F408" s="2">
        <v>8</v>
      </c>
      <c r="G408" s="2">
        <v>2</v>
      </c>
      <c r="H408" s="2">
        <v>4</v>
      </c>
      <c r="I408" s="2">
        <v>0</v>
      </c>
      <c r="J408" s="2">
        <v>7</v>
      </c>
      <c r="K408">
        <f>J408+L408</f>
        <v>9</v>
      </c>
      <c r="L408" s="2">
        <v>2</v>
      </c>
      <c r="M408" s="2">
        <v>7</v>
      </c>
      <c r="N408" s="2">
        <v>181</v>
      </c>
      <c r="O408" s="3">
        <f>N408/J408</f>
        <v>25.857142857142858</v>
      </c>
      <c r="P408" s="2">
        <v>1</v>
      </c>
      <c r="Q408" s="2">
        <v>0</v>
      </c>
      <c r="R408" s="2">
        <v>86</v>
      </c>
      <c r="S408" s="2">
        <v>109</v>
      </c>
      <c r="T408" s="2">
        <v>12</v>
      </c>
      <c r="U408" s="2">
        <v>14</v>
      </c>
      <c r="V408" s="2">
        <v>454</v>
      </c>
      <c r="W408" s="3">
        <f>V408/S408</f>
        <v>4.1651376146788994</v>
      </c>
      <c r="X408" s="3">
        <f>V408/U408</f>
        <v>32.428571428571431</v>
      </c>
      <c r="Y408" s="4">
        <f>S408*6/U408</f>
        <v>46.714285714285715</v>
      </c>
      <c r="Z408" s="2">
        <v>3</v>
      </c>
      <c r="AA408" s="2">
        <v>0</v>
      </c>
      <c r="AB408" s="2">
        <v>0</v>
      </c>
      <c r="AC408" s="2">
        <v>3</v>
      </c>
    </row>
    <row r="409" spans="1:29" x14ac:dyDescent="0.35">
      <c r="A409" s="1" t="s">
        <v>500</v>
      </c>
      <c r="B409" s="1" t="s">
        <v>125</v>
      </c>
      <c r="C409">
        <f>D409+E409+F409+G409+H409+I409</f>
        <v>62</v>
      </c>
      <c r="D409" s="2">
        <v>33</v>
      </c>
      <c r="E409" s="2">
        <v>10</v>
      </c>
      <c r="F409" s="2">
        <v>2</v>
      </c>
      <c r="G409" s="2">
        <v>9</v>
      </c>
      <c r="H409" s="2">
        <v>0</v>
      </c>
      <c r="I409" s="2">
        <v>8</v>
      </c>
      <c r="J409" s="2">
        <v>48</v>
      </c>
      <c r="K409">
        <f>J409+L409</f>
        <v>58</v>
      </c>
      <c r="L409" s="2">
        <v>10</v>
      </c>
      <c r="M409" s="2">
        <v>6</v>
      </c>
      <c r="N409" s="2">
        <v>1089</v>
      </c>
      <c r="O409" s="3">
        <f>N409/J409</f>
        <v>22.6875</v>
      </c>
      <c r="P409" s="2">
        <v>6</v>
      </c>
      <c r="Q409" s="2">
        <v>0</v>
      </c>
      <c r="R409" s="2">
        <v>85</v>
      </c>
      <c r="S409" s="2">
        <v>120</v>
      </c>
      <c r="T409" s="2">
        <v>37</v>
      </c>
      <c r="U409" s="2">
        <v>21</v>
      </c>
      <c r="V409" s="2">
        <v>271</v>
      </c>
      <c r="W409" s="3">
        <f>V409/S409</f>
        <v>2.2583333333333333</v>
      </c>
      <c r="X409" s="3">
        <f>V409/U409</f>
        <v>12.904761904761905</v>
      </c>
      <c r="Y409" s="4">
        <f>S409*6/U409</f>
        <v>34.285714285714285</v>
      </c>
      <c r="Z409" s="2">
        <v>3</v>
      </c>
      <c r="AA409" s="2">
        <v>0</v>
      </c>
      <c r="AB409" s="2">
        <v>0</v>
      </c>
      <c r="AC409" s="2">
        <v>25</v>
      </c>
    </row>
    <row r="410" spans="1:29" x14ac:dyDescent="0.35">
      <c r="A410" s="1" t="s">
        <v>500</v>
      </c>
      <c r="B410" s="1" t="s">
        <v>501</v>
      </c>
      <c r="C410">
        <f>D410+E410+F410+G410+H410+I410</f>
        <v>9</v>
      </c>
      <c r="D410" s="2">
        <v>0</v>
      </c>
      <c r="E410" s="2">
        <v>1</v>
      </c>
      <c r="F410" s="2">
        <v>8</v>
      </c>
      <c r="G410" s="2">
        <v>0</v>
      </c>
      <c r="H410" s="2">
        <v>0</v>
      </c>
      <c r="I410" s="2">
        <v>0</v>
      </c>
      <c r="J410" s="2">
        <v>11</v>
      </c>
      <c r="K410">
        <f>J410+L410</f>
        <v>11</v>
      </c>
      <c r="L410" s="2">
        <v>0</v>
      </c>
      <c r="M410" s="2">
        <v>0</v>
      </c>
      <c r="N410" s="2">
        <v>96</v>
      </c>
      <c r="O410" s="3">
        <f>N410/J410</f>
        <v>8.7272727272727266</v>
      </c>
      <c r="P410" s="2">
        <v>0</v>
      </c>
      <c r="Q410" s="2">
        <v>0</v>
      </c>
      <c r="R410" s="2">
        <v>36</v>
      </c>
      <c r="S410" s="2">
        <v>73</v>
      </c>
      <c r="T410" s="2">
        <v>11</v>
      </c>
      <c r="U410" s="2">
        <v>17</v>
      </c>
      <c r="V410" s="2">
        <v>301</v>
      </c>
      <c r="W410" s="3">
        <f>V410/S410</f>
        <v>4.1232876712328768</v>
      </c>
      <c r="X410" s="3">
        <f>V410/U410</f>
        <v>17.705882352941178</v>
      </c>
      <c r="Y410" s="4">
        <f>S410*6/U410</f>
        <v>25.764705882352942</v>
      </c>
      <c r="Z410" s="2">
        <v>5</v>
      </c>
      <c r="AA410" s="2">
        <v>1</v>
      </c>
      <c r="AB410" s="2">
        <v>0</v>
      </c>
      <c r="AC410" s="2">
        <v>1</v>
      </c>
    </row>
    <row r="411" spans="1:29" x14ac:dyDescent="0.35">
      <c r="A411" s="1" t="s">
        <v>500</v>
      </c>
      <c r="B411" s="1" t="s">
        <v>190</v>
      </c>
      <c r="C411">
        <f>D411+E411+F411+G411+H411+I411</f>
        <v>3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3</v>
      </c>
      <c r="J411" s="2">
        <v>1</v>
      </c>
      <c r="K411">
        <f>J411+L411</f>
        <v>2</v>
      </c>
      <c r="L411" s="2">
        <v>1</v>
      </c>
      <c r="M411" s="2">
        <v>1</v>
      </c>
      <c r="N411" s="2">
        <v>32</v>
      </c>
      <c r="O411" s="3">
        <f>N411/J411</f>
        <v>32</v>
      </c>
      <c r="P411" s="2">
        <v>0</v>
      </c>
      <c r="Q411" s="2">
        <v>0</v>
      </c>
      <c r="R411" s="2">
        <v>28</v>
      </c>
      <c r="S411" s="2">
        <v>1</v>
      </c>
      <c r="T411" s="2">
        <v>0</v>
      </c>
      <c r="U411" s="2">
        <v>0</v>
      </c>
      <c r="V411" s="2">
        <v>5</v>
      </c>
      <c r="W411" s="3">
        <f>V411/S411</f>
        <v>5</v>
      </c>
      <c r="X411" s="3" t="e">
        <f>V411/U411</f>
        <v>#DIV/0!</v>
      </c>
      <c r="Y411" s="4" t="e">
        <f>S411*6/U411</f>
        <v>#DIV/0!</v>
      </c>
      <c r="Z411" s="2">
        <v>0</v>
      </c>
      <c r="AA411" s="2">
        <v>0</v>
      </c>
      <c r="AB411" s="2">
        <v>0</v>
      </c>
      <c r="AC411" s="2">
        <v>1</v>
      </c>
    </row>
    <row r="412" spans="1:29" x14ac:dyDescent="0.35">
      <c r="A412" s="1" t="s">
        <v>500</v>
      </c>
      <c r="B412" s="1" t="s">
        <v>502</v>
      </c>
      <c r="C412">
        <f>D412+E412+F412+G412+H412+I412</f>
        <v>1</v>
      </c>
      <c r="D412" s="2">
        <v>0</v>
      </c>
      <c r="E412" s="2">
        <v>0</v>
      </c>
      <c r="F412" s="2">
        <v>1</v>
      </c>
      <c r="G412" s="2">
        <v>0</v>
      </c>
      <c r="H412" s="2">
        <v>0</v>
      </c>
      <c r="I412" s="2">
        <v>0</v>
      </c>
      <c r="J412" s="2">
        <v>2</v>
      </c>
      <c r="K412">
        <f>J412+L412</f>
        <v>2</v>
      </c>
      <c r="L412" s="2">
        <v>0</v>
      </c>
      <c r="M412" s="2">
        <v>0</v>
      </c>
      <c r="N412" s="2">
        <v>26</v>
      </c>
      <c r="O412" s="3">
        <f>N412/J412</f>
        <v>13</v>
      </c>
      <c r="P412" s="2">
        <v>0</v>
      </c>
      <c r="Q412" s="2">
        <v>0</v>
      </c>
      <c r="R412" s="2">
        <v>19</v>
      </c>
      <c r="S412" s="2">
        <v>5</v>
      </c>
      <c r="T412" s="2">
        <v>0</v>
      </c>
      <c r="U412" s="2">
        <v>0</v>
      </c>
      <c r="V412" s="2">
        <v>17</v>
      </c>
      <c r="W412" s="3">
        <f>V412/S412</f>
        <v>3.4</v>
      </c>
      <c r="X412" s="3" t="e">
        <f>V412/U412</f>
        <v>#DIV/0!</v>
      </c>
      <c r="Y412" s="4" t="e">
        <f>S412*6/U412</f>
        <v>#DIV/0!</v>
      </c>
      <c r="Z412" s="2">
        <v>0</v>
      </c>
      <c r="AA412" s="2">
        <v>0</v>
      </c>
      <c r="AB412" s="2">
        <v>0</v>
      </c>
      <c r="AC412" s="2">
        <v>0</v>
      </c>
    </row>
    <row r="413" spans="1:29" x14ac:dyDescent="0.35">
      <c r="A413" s="1" t="s">
        <v>503</v>
      </c>
      <c r="B413" s="1" t="s">
        <v>190</v>
      </c>
      <c r="C413">
        <f>D413+E413+F413+G413+H413+I413</f>
        <v>8</v>
      </c>
      <c r="D413" s="2">
        <v>0</v>
      </c>
      <c r="E413" s="2">
        <v>8</v>
      </c>
      <c r="F413" s="2">
        <v>0</v>
      </c>
      <c r="G413" s="2">
        <v>0</v>
      </c>
      <c r="H413" s="2">
        <v>0</v>
      </c>
      <c r="I413" s="2">
        <v>0</v>
      </c>
      <c r="J413" s="2">
        <v>6</v>
      </c>
      <c r="K413">
        <f>J413+L413</f>
        <v>6</v>
      </c>
      <c r="L413" s="2">
        <v>0</v>
      </c>
      <c r="M413" s="2">
        <v>1</v>
      </c>
      <c r="N413" s="2">
        <v>121</v>
      </c>
      <c r="O413" s="3">
        <f>N413/J413</f>
        <v>20.166666666666668</v>
      </c>
      <c r="P413" s="2">
        <v>1</v>
      </c>
      <c r="Q413" s="2">
        <v>0</v>
      </c>
      <c r="R413" s="2">
        <v>50</v>
      </c>
      <c r="S413" s="2">
        <v>88</v>
      </c>
      <c r="T413" s="2">
        <v>17</v>
      </c>
      <c r="U413" s="2">
        <v>12</v>
      </c>
      <c r="V413" s="2">
        <v>279</v>
      </c>
      <c r="W413" s="3">
        <f>V413/S413</f>
        <v>3.1704545454545454</v>
      </c>
      <c r="X413" s="3">
        <f>V413/U413</f>
        <v>23.25</v>
      </c>
      <c r="Y413" s="4">
        <f>S413*6/U413</f>
        <v>44</v>
      </c>
      <c r="Z413" s="2">
        <v>4</v>
      </c>
      <c r="AA413" s="2">
        <v>0</v>
      </c>
      <c r="AB413" s="2">
        <v>0</v>
      </c>
      <c r="AC413" s="2">
        <v>4</v>
      </c>
    </row>
    <row r="414" spans="1:29" x14ac:dyDescent="0.35">
      <c r="A414" s="1" t="s">
        <v>504</v>
      </c>
      <c r="B414" s="1" t="s">
        <v>452</v>
      </c>
      <c r="C414">
        <f>D414+E414+F414+G414+H414+I414</f>
        <v>33</v>
      </c>
      <c r="D414" s="2">
        <v>6</v>
      </c>
      <c r="E414" s="2">
        <v>26</v>
      </c>
      <c r="F414" s="2">
        <v>0</v>
      </c>
      <c r="G414" s="2">
        <v>0</v>
      </c>
      <c r="H414" s="2">
        <v>1</v>
      </c>
      <c r="I414" s="2">
        <v>0</v>
      </c>
      <c r="J414" s="2">
        <v>9</v>
      </c>
      <c r="K414">
        <f>J414+L414</f>
        <v>16</v>
      </c>
      <c r="L414" s="2">
        <v>7</v>
      </c>
      <c r="M414" s="2">
        <v>19</v>
      </c>
      <c r="N414" s="2">
        <v>87</v>
      </c>
      <c r="O414" s="3">
        <f>N414/J414</f>
        <v>9.6666666666666661</v>
      </c>
      <c r="P414" s="2">
        <v>0</v>
      </c>
      <c r="Q414" s="2">
        <v>0</v>
      </c>
      <c r="R414" s="11" t="s">
        <v>1209</v>
      </c>
      <c r="S414" s="11">
        <f>206.3+36</f>
        <v>242.3</v>
      </c>
      <c r="T414" s="11">
        <v>38</v>
      </c>
      <c r="U414" s="11">
        <f>43+8</f>
        <v>51</v>
      </c>
      <c r="V414" s="11">
        <f>773+123</f>
        <v>896</v>
      </c>
      <c r="W414" s="3">
        <f>V414/S414</f>
        <v>3.6978951712752783</v>
      </c>
      <c r="X414" s="3">
        <f>V414/U414</f>
        <v>17.568627450980394</v>
      </c>
      <c r="Y414" s="3">
        <f>415/U414</f>
        <v>8.1372549019607838</v>
      </c>
      <c r="Z414" s="11" t="s">
        <v>1155</v>
      </c>
      <c r="AA414" s="2">
        <v>1</v>
      </c>
      <c r="AB414" s="2">
        <v>0</v>
      </c>
      <c r="AC414" s="2">
        <v>7</v>
      </c>
    </row>
    <row r="415" spans="1:29" x14ac:dyDescent="0.35">
      <c r="A415" s="1" t="s">
        <v>504</v>
      </c>
      <c r="B415" s="1" t="s">
        <v>64</v>
      </c>
      <c r="C415">
        <f>D415+E415+F415+G415+H415+I415</f>
        <v>1</v>
      </c>
      <c r="D415" s="2">
        <v>0</v>
      </c>
      <c r="E415" s="2">
        <v>0</v>
      </c>
      <c r="F415" s="2">
        <v>1</v>
      </c>
      <c r="G415" s="2">
        <v>0</v>
      </c>
      <c r="H415" s="2">
        <v>0</v>
      </c>
      <c r="I415" s="2">
        <v>0</v>
      </c>
      <c r="J415" s="2">
        <v>1</v>
      </c>
      <c r="K415">
        <f>J415+L415</f>
        <v>1</v>
      </c>
      <c r="L415" s="2">
        <v>0</v>
      </c>
      <c r="M415" s="2">
        <v>0</v>
      </c>
      <c r="N415" s="2">
        <v>0</v>
      </c>
      <c r="O415" s="3">
        <f>N415/J415</f>
        <v>0</v>
      </c>
      <c r="P415" s="2">
        <v>0</v>
      </c>
      <c r="Q415" s="2">
        <v>0</v>
      </c>
      <c r="R415" s="2">
        <v>0</v>
      </c>
      <c r="S415" s="2">
        <v>4</v>
      </c>
      <c r="T415" s="2">
        <v>0</v>
      </c>
      <c r="U415" s="2">
        <v>2</v>
      </c>
      <c r="V415" s="2">
        <v>10</v>
      </c>
      <c r="W415" s="3">
        <f>V415/S415</f>
        <v>2.5</v>
      </c>
      <c r="X415" s="3">
        <f>V415/U415</f>
        <v>5</v>
      </c>
      <c r="Y415" s="4">
        <f>S415*6/U415</f>
        <v>12</v>
      </c>
      <c r="Z415" s="2">
        <v>2</v>
      </c>
      <c r="AA415" s="2">
        <v>0</v>
      </c>
      <c r="AB415" s="2">
        <v>0</v>
      </c>
      <c r="AC415" s="2">
        <v>2</v>
      </c>
    </row>
    <row r="416" spans="1:29" x14ac:dyDescent="0.35">
      <c r="A416" s="7" t="s">
        <v>504</v>
      </c>
      <c r="B416" s="7" t="s">
        <v>505</v>
      </c>
      <c r="C416">
        <f>D416+E416+F416+G416+H416+I416</f>
        <v>6</v>
      </c>
      <c r="D416" s="5">
        <v>2</v>
      </c>
      <c r="E416" s="5">
        <v>4</v>
      </c>
      <c r="F416" s="5">
        <v>0</v>
      </c>
      <c r="G416" s="5">
        <v>0</v>
      </c>
      <c r="H416" s="5">
        <v>0</v>
      </c>
      <c r="I416" s="5">
        <v>0</v>
      </c>
      <c r="J416" s="5">
        <v>4</v>
      </c>
      <c r="K416">
        <f>J416+L416</f>
        <v>5</v>
      </c>
      <c r="L416" s="5">
        <v>1</v>
      </c>
      <c r="M416" s="5">
        <v>2</v>
      </c>
      <c r="N416" s="5">
        <v>120</v>
      </c>
      <c r="O416" s="3">
        <f>N416/J416</f>
        <v>30</v>
      </c>
      <c r="P416" s="5">
        <v>0</v>
      </c>
      <c r="Q416" s="5">
        <v>0</v>
      </c>
      <c r="R416" s="40">
        <v>41</v>
      </c>
      <c r="S416" s="40">
        <v>40</v>
      </c>
      <c r="T416" s="40">
        <v>6</v>
      </c>
      <c r="U416" s="40">
        <v>3</v>
      </c>
      <c r="V416" s="40">
        <v>125</v>
      </c>
      <c r="W416" s="3">
        <f>V416/S416</f>
        <v>3.125</v>
      </c>
      <c r="X416" s="3">
        <f>V416/U416</f>
        <v>41.666666666666664</v>
      </c>
      <c r="Y416" s="4">
        <f>S416*6/U416</f>
        <v>80</v>
      </c>
      <c r="Z416" s="40">
        <v>2</v>
      </c>
      <c r="AA416" s="5">
        <v>0</v>
      </c>
      <c r="AB416" s="5">
        <v>0</v>
      </c>
      <c r="AC416" s="5">
        <v>0</v>
      </c>
    </row>
    <row r="417" spans="1:29" x14ac:dyDescent="0.35">
      <c r="A417" s="1" t="s">
        <v>506</v>
      </c>
      <c r="B417" s="1" t="s">
        <v>71</v>
      </c>
      <c r="C417">
        <f>D417+E417+F417+G417+H417+I417</f>
        <v>3</v>
      </c>
      <c r="D417" s="2">
        <v>0</v>
      </c>
      <c r="E417" s="2">
        <v>0</v>
      </c>
      <c r="F417" s="2">
        <v>3</v>
      </c>
      <c r="G417" s="2">
        <v>0</v>
      </c>
      <c r="H417" s="2">
        <v>0</v>
      </c>
      <c r="I417" s="2">
        <v>0</v>
      </c>
      <c r="J417" s="2">
        <v>0</v>
      </c>
      <c r="K417">
        <f>J417+L417</f>
        <v>2</v>
      </c>
      <c r="L417" s="2">
        <v>2</v>
      </c>
      <c r="M417" s="2">
        <v>1</v>
      </c>
      <c r="N417" s="2">
        <v>1</v>
      </c>
      <c r="O417" s="3" t="e">
        <f>N417/J417</f>
        <v>#DIV/0!</v>
      </c>
      <c r="P417" s="2">
        <v>0</v>
      </c>
      <c r="Q417" s="2">
        <v>0</v>
      </c>
      <c r="R417" s="2">
        <v>1</v>
      </c>
      <c r="S417" s="2">
        <v>0</v>
      </c>
      <c r="T417" s="2">
        <v>0</v>
      </c>
      <c r="U417" s="2">
        <v>0</v>
      </c>
      <c r="V417" s="2">
        <v>0</v>
      </c>
      <c r="W417" s="3" t="e">
        <f>V417/S417</f>
        <v>#DIV/0!</v>
      </c>
      <c r="X417" s="3" t="e">
        <f>V417/U417</f>
        <v>#DIV/0!</v>
      </c>
      <c r="Y417" s="4" t="e">
        <f>S417*6/U417</f>
        <v>#DIV/0!</v>
      </c>
      <c r="Z417" s="2">
        <v>0</v>
      </c>
      <c r="AA417" s="2">
        <v>0</v>
      </c>
      <c r="AB417" s="2">
        <v>0</v>
      </c>
      <c r="AC417" s="2">
        <v>7</v>
      </c>
    </row>
    <row r="418" spans="1:29" x14ac:dyDescent="0.35">
      <c r="A418" s="1" t="s">
        <v>507</v>
      </c>
      <c r="B418" s="1" t="s">
        <v>508</v>
      </c>
      <c r="C418">
        <f>D418+E418+F418+G418+H418+I418</f>
        <v>25</v>
      </c>
      <c r="D418" s="2">
        <v>0</v>
      </c>
      <c r="E418" s="2">
        <v>21</v>
      </c>
      <c r="F418" s="2">
        <v>2</v>
      </c>
      <c r="G418" s="2">
        <v>1</v>
      </c>
      <c r="H418" s="2">
        <v>0</v>
      </c>
      <c r="I418" s="2">
        <v>1</v>
      </c>
      <c r="J418" s="2">
        <v>31</v>
      </c>
      <c r="K418">
        <f>J418+L418</f>
        <v>32</v>
      </c>
      <c r="L418" s="2">
        <v>1</v>
      </c>
      <c r="M418" s="2">
        <v>1</v>
      </c>
      <c r="N418" s="2">
        <v>450</v>
      </c>
      <c r="O418" s="3">
        <f>N418/J418</f>
        <v>14.516129032258064</v>
      </c>
      <c r="P418" s="2">
        <v>2</v>
      </c>
      <c r="Q418" s="2">
        <v>0</v>
      </c>
      <c r="R418" s="2">
        <v>59</v>
      </c>
      <c r="S418" s="2">
        <v>8</v>
      </c>
      <c r="T418" s="2">
        <v>2</v>
      </c>
      <c r="U418" s="2">
        <v>1</v>
      </c>
      <c r="V418" s="2">
        <v>9</v>
      </c>
      <c r="W418" s="3">
        <f>V418/S418</f>
        <v>1.125</v>
      </c>
      <c r="X418" s="3">
        <f>V418/U418</f>
        <v>9</v>
      </c>
      <c r="Y418" s="4">
        <f>S418*6/U418</f>
        <v>48</v>
      </c>
      <c r="Z418" s="2">
        <v>1</v>
      </c>
      <c r="AA418" s="2">
        <v>0</v>
      </c>
      <c r="AB418" s="2">
        <v>0</v>
      </c>
      <c r="AC418" s="2">
        <v>13</v>
      </c>
    </row>
    <row r="419" spans="1:29" x14ac:dyDescent="0.35">
      <c r="A419" s="1" t="s">
        <v>509</v>
      </c>
      <c r="B419" s="1" t="s">
        <v>97</v>
      </c>
      <c r="C419">
        <f>D419+E419+F419+G419+H419+I419</f>
        <v>21</v>
      </c>
      <c r="D419" s="2">
        <v>21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23</v>
      </c>
      <c r="K419">
        <f>J419+L419</f>
        <v>23</v>
      </c>
      <c r="L419" s="2">
        <v>0</v>
      </c>
      <c r="M419" s="2">
        <v>1</v>
      </c>
      <c r="N419" s="2">
        <v>311</v>
      </c>
      <c r="O419" s="3">
        <f>N419/J419</f>
        <v>13.521739130434783</v>
      </c>
      <c r="P419" s="2">
        <v>0</v>
      </c>
      <c r="Q419" s="2">
        <v>0</v>
      </c>
      <c r="R419" s="2">
        <v>48</v>
      </c>
      <c r="S419" s="2">
        <v>130</v>
      </c>
      <c r="T419" s="2">
        <v>11</v>
      </c>
      <c r="U419" s="2">
        <v>28</v>
      </c>
      <c r="V419" s="2">
        <v>457</v>
      </c>
      <c r="W419" s="3">
        <f>V419/S419</f>
        <v>3.5153846153846153</v>
      </c>
      <c r="X419" s="3">
        <f>V419/U419</f>
        <v>16.321428571428573</v>
      </c>
      <c r="Y419" s="4">
        <f>S419*6/U419</f>
        <v>27.857142857142858</v>
      </c>
      <c r="Z419" s="2">
        <v>5</v>
      </c>
      <c r="AA419" s="2">
        <v>1</v>
      </c>
      <c r="AB419" s="2">
        <v>0</v>
      </c>
      <c r="AC419" s="2">
        <v>4</v>
      </c>
    </row>
    <row r="420" spans="1:29" x14ac:dyDescent="0.35">
      <c r="A420" s="1" t="s">
        <v>510</v>
      </c>
      <c r="B420" s="1" t="s">
        <v>409</v>
      </c>
      <c r="C420">
        <f>D420+E420+F420+G420+H420+I420</f>
        <v>2</v>
      </c>
      <c r="D420" s="2">
        <v>0</v>
      </c>
      <c r="E420" s="2">
        <v>0</v>
      </c>
      <c r="F420" s="2">
        <v>0</v>
      </c>
      <c r="G420" s="2">
        <v>1</v>
      </c>
      <c r="H420" s="2">
        <v>1</v>
      </c>
      <c r="I420" s="2">
        <v>0</v>
      </c>
      <c r="J420" s="2">
        <v>1</v>
      </c>
      <c r="K420">
        <f>J420+L420</f>
        <v>2</v>
      </c>
      <c r="L420" s="2">
        <v>1</v>
      </c>
      <c r="M420" s="2">
        <v>0</v>
      </c>
      <c r="N420" s="2">
        <v>12</v>
      </c>
      <c r="O420" s="3">
        <f>N420/J420</f>
        <v>12</v>
      </c>
      <c r="P420" s="2">
        <v>0</v>
      </c>
      <c r="Q420" s="2">
        <v>0</v>
      </c>
      <c r="R420" s="2">
        <v>8</v>
      </c>
      <c r="S420" s="2">
        <v>0</v>
      </c>
      <c r="T420" s="2">
        <v>0</v>
      </c>
      <c r="U420" s="2">
        <v>0</v>
      </c>
      <c r="V420" s="2">
        <v>0</v>
      </c>
      <c r="W420" s="3" t="e">
        <f>V420/S420</f>
        <v>#DIV/0!</v>
      </c>
      <c r="X420" s="3" t="e">
        <f>V420/U420</f>
        <v>#DIV/0!</v>
      </c>
      <c r="Y420" s="4" t="e">
        <f>S420*6/U420</f>
        <v>#DIV/0!</v>
      </c>
      <c r="Z420" s="2">
        <v>0</v>
      </c>
      <c r="AA420" s="2">
        <v>0</v>
      </c>
      <c r="AB420" s="2">
        <v>0</v>
      </c>
      <c r="AC420" s="2">
        <v>0</v>
      </c>
    </row>
    <row r="421" spans="1:29" x14ac:dyDescent="0.35">
      <c r="A421" s="1" t="s">
        <v>511</v>
      </c>
      <c r="B421" s="1" t="s">
        <v>512</v>
      </c>
      <c r="C421">
        <f>D421+E421+F421+G421+H421+I421</f>
        <v>13</v>
      </c>
      <c r="D421" s="2">
        <v>0</v>
      </c>
      <c r="E421" s="2">
        <v>0</v>
      </c>
      <c r="F421" s="2">
        <v>3</v>
      </c>
      <c r="G421" s="2">
        <v>10</v>
      </c>
      <c r="H421" s="2">
        <v>0</v>
      </c>
      <c r="I421" s="2">
        <v>0</v>
      </c>
      <c r="J421" s="2">
        <v>14</v>
      </c>
      <c r="K421">
        <f>J421+L421</f>
        <v>14</v>
      </c>
      <c r="L421" s="2">
        <v>0</v>
      </c>
      <c r="M421" s="2">
        <v>1</v>
      </c>
      <c r="N421" s="2">
        <v>172</v>
      </c>
      <c r="O421" s="3">
        <f>N421/J421</f>
        <v>12.285714285714286</v>
      </c>
      <c r="P421" s="2">
        <v>1</v>
      </c>
      <c r="Q421" s="2">
        <v>0</v>
      </c>
      <c r="R421" s="2">
        <v>53</v>
      </c>
      <c r="S421" s="2">
        <v>45</v>
      </c>
      <c r="T421" s="2">
        <v>6</v>
      </c>
      <c r="U421" s="2">
        <v>9</v>
      </c>
      <c r="V421" s="2">
        <v>102</v>
      </c>
      <c r="W421" s="3">
        <f>V421/S421</f>
        <v>2.2666666666666666</v>
      </c>
      <c r="X421" s="3">
        <f>V421/U421</f>
        <v>11.333333333333334</v>
      </c>
      <c r="Y421" s="4">
        <f>S421*6/U421</f>
        <v>30</v>
      </c>
      <c r="Z421" s="2">
        <v>3</v>
      </c>
      <c r="AA421" s="2">
        <v>0</v>
      </c>
      <c r="AB421" s="2">
        <v>0</v>
      </c>
      <c r="AC421" s="2">
        <v>8</v>
      </c>
    </row>
    <row r="422" spans="1:29" x14ac:dyDescent="0.35">
      <c r="A422" s="37" t="s">
        <v>1311</v>
      </c>
      <c r="B422" s="37" t="s">
        <v>1272</v>
      </c>
      <c r="C422" s="18">
        <f>D422+E422+F422+G422+H422+I422</f>
        <v>32</v>
      </c>
      <c r="D422" s="37">
        <v>16</v>
      </c>
      <c r="E422" s="37">
        <f>7+9</f>
        <v>16</v>
      </c>
      <c r="F422" s="37">
        <v>0</v>
      </c>
      <c r="G422" s="37">
        <v>0</v>
      </c>
      <c r="H422" s="37">
        <v>0</v>
      </c>
      <c r="I422" s="37">
        <v>0</v>
      </c>
      <c r="J422" s="37">
        <f>16+9</f>
        <v>25</v>
      </c>
      <c r="K422" s="18">
        <f>J422+L422</f>
        <v>29</v>
      </c>
      <c r="L422" s="37">
        <v>4</v>
      </c>
      <c r="M422" s="37">
        <v>4</v>
      </c>
      <c r="N422" s="37">
        <f>436+133</f>
        <v>569</v>
      </c>
      <c r="O422" s="19">
        <f>N422/J422</f>
        <v>22.76</v>
      </c>
      <c r="P422" s="37">
        <v>3</v>
      </c>
      <c r="Q422" s="37">
        <v>1</v>
      </c>
      <c r="R422" s="37" t="s">
        <v>1312</v>
      </c>
      <c r="S422" s="37">
        <f>89.1+58</f>
        <v>147.1</v>
      </c>
      <c r="T422" s="37">
        <v>27</v>
      </c>
      <c r="U422" s="37">
        <v>29</v>
      </c>
      <c r="V422" s="37">
        <f>214+214</f>
        <v>428</v>
      </c>
      <c r="W422" s="19">
        <f>V422/S422</f>
        <v>2.9095853161114889</v>
      </c>
      <c r="X422" s="19">
        <f>V422/U422</f>
        <v>14.758620689655173</v>
      </c>
      <c r="Y422" s="19">
        <f>197/U422</f>
        <v>6.7931034482758621</v>
      </c>
      <c r="Z422" s="37" t="s">
        <v>1349</v>
      </c>
      <c r="AA422" s="37">
        <v>0</v>
      </c>
      <c r="AB422" s="37">
        <v>0</v>
      </c>
      <c r="AC422" s="37">
        <v>16</v>
      </c>
    </row>
    <row r="423" spans="1:29" x14ac:dyDescent="0.35">
      <c r="A423" s="1" t="s">
        <v>513</v>
      </c>
      <c r="B423" s="1" t="s">
        <v>514</v>
      </c>
      <c r="C423">
        <f>D423+E423+F423+G423+H423+I423</f>
        <v>59</v>
      </c>
      <c r="D423" s="2">
        <v>0</v>
      </c>
      <c r="E423" s="2">
        <v>1</v>
      </c>
      <c r="F423" s="2">
        <v>28</v>
      </c>
      <c r="G423" s="2">
        <v>13</v>
      </c>
      <c r="H423" s="2">
        <v>17</v>
      </c>
      <c r="I423" s="2">
        <v>0</v>
      </c>
      <c r="J423" s="2">
        <v>56</v>
      </c>
      <c r="K423">
        <f>J423+L423</f>
        <v>58</v>
      </c>
      <c r="L423" s="2">
        <v>2</v>
      </c>
      <c r="M423" s="2">
        <v>2</v>
      </c>
      <c r="N423" s="2">
        <f>601+407</f>
        <v>1008</v>
      </c>
      <c r="O423" s="3">
        <f>N423/J423</f>
        <v>18</v>
      </c>
      <c r="P423" s="2">
        <v>6</v>
      </c>
      <c r="Q423" s="2">
        <v>0</v>
      </c>
      <c r="R423" s="2">
        <v>92</v>
      </c>
      <c r="S423" s="2">
        <v>5</v>
      </c>
      <c r="T423" s="2">
        <v>2</v>
      </c>
      <c r="U423" s="2">
        <v>1</v>
      </c>
      <c r="V423" s="2">
        <v>12</v>
      </c>
      <c r="W423" s="3">
        <f>V423/S423</f>
        <v>2.4</v>
      </c>
      <c r="X423" s="3">
        <f>V423/U423</f>
        <v>12</v>
      </c>
      <c r="Y423" s="4">
        <f>S423*6/U423</f>
        <v>30</v>
      </c>
      <c r="Z423" s="2">
        <v>1</v>
      </c>
      <c r="AA423" s="2">
        <v>0</v>
      </c>
      <c r="AB423" s="2">
        <v>0</v>
      </c>
      <c r="AC423" s="2">
        <v>26</v>
      </c>
    </row>
    <row r="424" spans="1:29" x14ac:dyDescent="0.35">
      <c r="A424" s="1" t="s">
        <v>515</v>
      </c>
      <c r="B424" s="1" t="s">
        <v>516</v>
      </c>
      <c r="C424">
        <f>D424+E424+F424+G424+H424+I424</f>
        <v>7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7</v>
      </c>
      <c r="J424" s="2">
        <v>5</v>
      </c>
      <c r="K424">
        <f>J424+L424</f>
        <v>7</v>
      </c>
      <c r="L424" s="2">
        <v>2</v>
      </c>
      <c r="M424" s="2">
        <v>0</v>
      </c>
      <c r="N424" s="2">
        <v>77</v>
      </c>
      <c r="O424" s="3">
        <f>N424/J424</f>
        <v>15.4</v>
      </c>
      <c r="P424" s="2">
        <v>0</v>
      </c>
      <c r="Q424" s="2">
        <v>0</v>
      </c>
      <c r="R424" s="2">
        <v>35</v>
      </c>
      <c r="S424" s="2">
        <v>44</v>
      </c>
      <c r="T424" s="2">
        <v>6</v>
      </c>
      <c r="U424" s="2">
        <v>12</v>
      </c>
      <c r="V424" s="2">
        <v>159</v>
      </c>
      <c r="W424" s="3">
        <f>V424/S424</f>
        <v>3.6136363636363638</v>
      </c>
      <c r="X424" s="3">
        <f>V424/U424</f>
        <v>13.25</v>
      </c>
      <c r="Y424" s="4">
        <f>S424*6/U424</f>
        <v>22</v>
      </c>
      <c r="Z424" s="2">
        <v>4</v>
      </c>
      <c r="AA424" s="2">
        <v>0</v>
      </c>
      <c r="AB424" s="2">
        <v>0</v>
      </c>
      <c r="AC424" s="2">
        <v>1</v>
      </c>
    </row>
    <row r="425" spans="1:29" x14ac:dyDescent="0.35">
      <c r="A425" s="1" t="s">
        <v>515</v>
      </c>
      <c r="B425" s="1" t="s">
        <v>517</v>
      </c>
      <c r="C425">
        <f>D425+E425+F425+G425+H425+I425</f>
        <v>2</v>
      </c>
      <c r="D425" s="2">
        <v>0</v>
      </c>
      <c r="E425" s="2">
        <v>0</v>
      </c>
      <c r="F425" s="2">
        <v>0</v>
      </c>
      <c r="G425" s="2">
        <v>2</v>
      </c>
      <c r="H425" s="2">
        <v>0</v>
      </c>
      <c r="I425" s="2">
        <v>0</v>
      </c>
      <c r="J425" s="2">
        <v>2</v>
      </c>
      <c r="K425">
        <f>J425+L425</f>
        <v>2</v>
      </c>
      <c r="L425" s="2">
        <v>0</v>
      </c>
      <c r="M425" s="2">
        <v>0</v>
      </c>
      <c r="N425" s="2">
        <v>180</v>
      </c>
      <c r="O425" s="3">
        <f>N425/J425</f>
        <v>90</v>
      </c>
      <c r="P425" s="2">
        <v>1</v>
      </c>
      <c r="Q425" s="2">
        <v>1</v>
      </c>
      <c r="R425" s="2">
        <v>108</v>
      </c>
      <c r="S425" s="2">
        <v>14</v>
      </c>
      <c r="T425" s="2">
        <v>0</v>
      </c>
      <c r="U425" s="2">
        <v>3</v>
      </c>
      <c r="V425" s="2">
        <v>79</v>
      </c>
      <c r="W425" s="3">
        <f>V425/S425</f>
        <v>5.6428571428571432</v>
      </c>
      <c r="X425" s="3">
        <f>V425/U425</f>
        <v>26.333333333333332</v>
      </c>
      <c r="Y425" s="4">
        <f>S425*6/U425</f>
        <v>28</v>
      </c>
      <c r="Z425" s="2">
        <v>2</v>
      </c>
      <c r="AA425" s="2">
        <v>0</v>
      </c>
      <c r="AB425" s="2">
        <v>0</v>
      </c>
      <c r="AC425" s="2">
        <v>0</v>
      </c>
    </row>
    <row r="426" spans="1:29" x14ac:dyDescent="0.35">
      <c r="A426" s="1" t="s">
        <v>518</v>
      </c>
      <c r="B426" s="1" t="s">
        <v>198</v>
      </c>
      <c r="C426">
        <f>D426+E426+F426+G426+H426+I426</f>
        <v>18</v>
      </c>
      <c r="D426" s="2">
        <v>0</v>
      </c>
      <c r="E426" s="2">
        <v>0</v>
      </c>
      <c r="F426" s="2">
        <v>8</v>
      </c>
      <c r="G426" s="2">
        <v>4</v>
      </c>
      <c r="H426" s="2">
        <v>3</v>
      </c>
      <c r="I426" s="2">
        <v>3</v>
      </c>
      <c r="J426" s="2">
        <v>19</v>
      </c>
      <c r="K426">
        <f>J426+L426</f>
        <v>20</v>
      </c>
      <c r="L426" s="2">
        <v>1</v>
      </c>
      <c r="M426" s="2">
        <v>0</v>
      </c>
      <c r="N426" s="2">
        <v>449</v>
      </c>
      <c r="O426" s="3">
        <f>N426/J426</f>
        <v>23.631578947368421</v>
      </c>
      <c r="P426" s="2">
        <v>1</v>
      </c>
      <c r="Q426" s="2">
        <v>1</v>
      </c>
      <c r="R426" s="2">
        <v>115</v>
      </c>
      <c r="S426" s="2">
        <v>83</v>
      </c>
      <c r="T426" s="2">
        <v>17</v>
      </c>
      <c r="U426" s="2">
        <v>7</v>
      </c>
      <c r="V426" s="2">
        <v>268</v>
      </c>
      <c r="W426" s="3">
        <f>V426/S426</f>
        <v>3.2289156626506026</v>
      </c>
      <c r="X426" s="3">
        <f>V426/U426</f>
        <v>38.285714285714285</v>
      </c>
      <c r="Y426" s="4">
        <f>S426*6/U426</f>
        <v>71.142857142857139</v>
      </c>
      <c r="Z426" s="2">
        <v>1</v>
      </c>
      <c r="AA426" s="2">
        <v>0</v>
      </c>
      <c r="AB426" s="2">
        <v>0</v>
      </c>
      <c r="AC426" s="2">
        <v>2</v>
      </c>
    </row>
    <row r="427" spans="1:29" x14ac:dyDescent="0.35">
      <c r="A427" s="1" t="s">
        <v>519</v>
      </c>
      <c r="B427" s="1" t="s">
        <v>71</v>
      </c>
      <c r="C427">
        <f>D427+E427+F427+G427+H427+I427</f>
        <v>6</v>
      </c>
      <c r="D427" s="2">
        <v>0</v>
      </c>
      <c r="E427" s="2">
        <v>4</v>
      </c>
      <c r="F427" s="2">
        <v>0</v>
      </c>
      <c r="G427" s="2">
        <v>2</v>
      </c>
      <c r="H427" s="2">
        <v>0</v>
      </c>
      <c r="I427" s="2">
        <v>0</v>
      </c>
      <c r="J427" s="2">
        <v>6</v>
      </c>
      <c r="K427">
        <f>J427+L427</f>
        <v>6</v>
      </c>
      <c r="L427" s="2">
        <v>0</v>
      </c>
      <c r="M427" s="2">
        <v>0</v>
      </c>
      <c r="N427" s="2">
        <v>37</v>
      </c>
      <c r="O427" s="3">
        <f>N427/J427</f>
        <v>6.166666666666667</v>
      </c>
      <c r="P427" s="2">
        <v>0</v>
      </c>
      <c r="Q427" s="2">
        <v>0</v>
      </c>
      <c r="R427" s="2">
        <v>12</v>
      </c>
      <c r="S427" s="2">
        <v>24</v>
      </c>
      <c r="T427" s="2">
        <v>4</v>
      </c>
      <c r="U427" s="2">
        <v>5</v>
      </c>
      <c r="V427" s="2">
        <v>86</v>
      </c>
      <c r="W427" s="3">
        <f>V427/S427</f>
        <v>3.5833333333333335</v>
      </c>
      <c r="X427" s="3">
        <f>V427/U427</f>
        <v>17.2</v>
      </c>
      <c r="Y427" s="4">
        <f>S427*6/U427</f>
        <v>28.8</v>
      </c>
      <c r="Z427" s="2">
        <v>2</v>
      </c>
      <c r="AA427" s="2">
        <v>0</v>
      </c>
      <c r="AB427" s="2">
        <v>0</v>
      </c>
      <c r="AC427" s="2">
        <v>0</v>
      </c>
    </row>
    <row r="428" spans="1:29" x14ac:dyDescent="0.35">
      <c r="A428" s="15" t="s">
        <v>520</v>
      </c>
      <c r="B428" s="15" t="s">
        <v>621</v>
      </c>
      <c r="C428" s="18">
        <f>D428+E428+F428+G428+H428+I428</f>
        <v>61</v>
      </c>
      <c r="D428" s="16">
        <v>0</v>
      </c>
      <c r="E428" s="16">
        <v>0</v>
      </c>
      <c r="F428" s="16">
        <v>24</v>
      </c>
      <c r="G428" s="16">
        <v>27</v>
      </c>
      <c r="H428" s="16">
        <v>10</v>
      </c>
      <c r="I428" s="16">
        <v>0</v>
      </c>
      <c r="J428" s="16">
        <f>45+8</f>
        <v>53</v>
      </c>
      <c r="K428" s="18">
        <f>J428+L428</f>
        <v>58</v>
      </c>
      <c r="L428" s="16">
        <v>5</v>
      </c>
      <c r="M428" s="16">
        <v>4</v>
      </c>
      <c r="N428" s="16">
        <f>1174+258</f>
        <v>1432</v>
      </c>
      <c r="O428" s="19">
        <f>N428/J428</f>
        <v>27.018867924528301</v>
      </c>
      <c r="P428" s="16">
        <v>8</v>
      </c>
      <c r="Q428" s="16">
        <v>1</v>
      </c>
      <c r="R428" s="16" t="s">
        <v>1383</v>
      </c>
      <c r="S428" s="16">
        <f>130.3+28</f>
        <v>158.30000000000001</v>
      </c>
      <c r="T428" s="16">
        <v>12</v>
      </c>
      <c r="U428" s="16">
        <v>29</v>
      </c>
      <c r="V428" s="16">
        <f>567+137</f>
        <v>704</v>
      </c>
      <c r="W428" s="19">
        <f>V428/S428</f>
        <v>4.4472520530638029</v>
      </c>
      <c r="X428" s="19">
        <f>V428/U428</f>
        <v>24.275862068965516</v>
      </c>
      <c r="Y428" s="20">
        <f>S428*6/U428</f>
        <v>32.751724137931035</v>
      </c>
      <c r="Z428" s="16" t="s">
        <v>1384</v>
      </c>
      <c r="AA428" s="16">
        <v>0</v>
      </c>
      <c r="AB428" s="16">
        <v>0</v>
      </c>
      <c r="AC428" s="16">
        <v>6</v>
      </c>
    </row>
    <row r="429" spans="1:29" x14ac:dyDescent="0.35">
      <c r="A429" s="1" t="s">
        <v>520</v>
      </c>
      <c r="B429" s="1" t="s">
        <v>521</v>
      </c>
      <c r="C429">
        <f>D429+E429+F429+G429+H429+I429</f>
        <v>21</v>
      </c>
      <c r="D429" s="2">
        <v>21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18</v>
      </c>
      <c r="K429">
        <f>J429+L429</f>
        <v>18</v>
      </c>
      <c r="L429" s="2">
        <v>0</v>
      </c>
      <c r="M429" s="2">
        <v>3</v>
      </c>
      <c r="N429" s="2">
        <v>293</v>
      </c>
      <c r="O429" s="3">
        <f>N429/J429</f>
        <v>16.277777777777779</v>
      </c>
      <c r="P429" s="2">
        <v>1</v>
      </c>
      <c r="Q429" s="2">
        <v>0</v>
      </c>
      <c r="R429" s="2">
        <v>78</v>
      </c>
      <c r="S429" s="2">
        <v>139</v>
      </c>
      <c r="T429" s="2">
        <v>35</v>
      </c>
      <c r="U429" s="2">
        <v>16</v>
      </c>
      <c r="V429" s="2">
        <v>387</v>
      </c>
      <c r="W429" s="3">
        <f>V429/S429</f>
        <v>2.7841726618705036</v>
      </c>
      <c r="X429" s="3">
        <f>V429/U429</f>
        <v>24.1875</v>
      </c>
      <c r="Y429" s="4">
        <f>S429*6/U429</f>
        <v>52.125</v>
      </c>
      <c r="Z429" s="2">
        <v>3</v>
      </c>
      <c r="AA429" s="2">
        <v>0</v>
      </c>
      <c r="AB429" s="2">
        <v>0</v>
      </c>
      <c r="AC429" s="2">
        <v>3</v>
      </c>
    </row>
    <row r="430" spans="1:29" x14ac:dyDescent="0.35">
      <c r="A430" s="35" t="s">
        <v>520</v>
      </c>
      <c r="B430" s="35" t="s">
        <v>1447</v>
      </c>
      <c r="C430">
        <f>D430+E430+F430+G430+H430+I430</f>
        <v>2</v>
      </c>
      <c r="D430" s="5">
        <v>0</v>
      </c>
      <c r="E430" s="5">
        <v>0</v>
      </c>
      <c r="F430" s="5">
        <v>0</v>
      </c>
      <c r="G430" s="5">
        <v>0</v>
      </c>
      <c r="H430" s="5">
        <v>2</v>
      </c>
      <c r="I430" s="5">
        <v>0</v>
      </c>
      <c r="J430" s="5">
        <v>2</v>
      </c>
      <c r="K430">
        <f>J430+L430</f>
        <v>2</v>
      </c>
      <c r="L430" s="5">
        <v>0</v>
      </c>
      <c r="M430" s="5">
        <v>0</v>
      </c>
      <c r="N430" s="5">
        <v>1</v>
      </c>
      <c r="O430" s="3">
        <f>N430/J430</f>
        <v>0.5</v>
      </c>
      <c r="P430" s="5">
        <v>0</v>
      </c>
      <c r="Q430" s="5">
        <v>0</v>
      </c>
      <c r="R430" s="5">
        <v>1</v>
      </c>
      <c r="S430" s="5">
        <v>0</v>
      </c>
      <c r="T430" s="35">
        <v>0</v>
      </c>
      <c r="U430" s="35">
        <v>0</v>
      </c>
      <c r="V430" s="35">
        <v>0</v>
      </c>
      <c r="W430">
        <v>0</v>
      </c>
      <c r="X430">
        <v>0</v>
      </c>
      <c r="Y430">
        <v>0</v>
      </c>
      <c r="Z430" s="35">
        <v>0</v>
      </c>
      <c r="AA430" s="35">
        <v>0</v>
      </c>
      <c r="AB430" s="35">
        <v>0</v>
      </c>
      <c r="AC430" s="35">
        <v>1</v>
      </c>
    </row>
    <row r="431" spans="1:29" x14ac:dyDescent="0.35">
      <c r="A431" s="36" t="s">
        <v>1189</v>
      </c>
      <c r="B431" s="26" t="s">
        <v>1190</v>
      </c>
      <c r="C431" s="18">
        <f>D431+E431+F431+G431+H431+I431</f>
        <v>51</v>
      </c>
      <c r="D431" s="21">
        <v>6</v>
      </c>
      <c r="E431" s="21">
        <v>36</v>
      </c>
      <c r="F431" s="21">
        <v>9</v>
      </c>
      <c r="G431" s="21">
        <v>0</v>
      </c>
      <c r="H431" s="21">
        <v>0</v>
      </c>
      <c r="I431" s="21">
        <v>0</v>
      </c>
      <c r="J431" s="21">
        <v>49</v>
      </c>
      <c r="K431" s="18">
        <f>J431+L431</f>
        <v>51</v>
      </c>
      <c r="L431" s="21">
        <v>2</v>
      </c>
      <c r="M431" s="21">
        <v>0</v>
      </c>
      <c r="N431" s="21">
        <f>757+232</f>
        <v>989</v>
      </c>
      <c r="O431" s="19">
        <f>N431/J431</f>
        <v>20.183673469387756</v>
      </c>
      <c r="P431" s="21">
        <v>5</v>
      </c>
      <c r="Q431" s="21">
        <v>0</v>
      </c>
      <c r="R431" s="39">
        <v>69</v>
      </c>
      <c r="S431" s="37">
        <f>49.1+48</f>
        <v>97.1</v>
      </c>
      <c r="T431" s="37">
        <v>14</v>
      </c>
      <c r="U431" s="37">
        <v>21</v>
      </c>
      <c r="V431" s="37">
        <f>141+169</f>
        <v>310</v>
      </c>
      <c r="W431" s="19">
        <f>V431/S431</f>
        <v>3.1925849639546859</v>
      </c>
      <c r="X431" s="19">
        <f>V431/U431</f>
        <v>14.761904761904763</v>
      </c>
      <c r="Y431" s="19">
        <f>169/10</f>
        <v>16.899999999999999</v>
      </c>
      <c r="Z431" s="37" t="s">
        <v>1194</v>
      </c>
      <c r="AA431" s="21">
        <v>0</v>
      </c>
      <c r="AB431" s="21">
        <v>0</v>
      </c>
      <c r="AC431" s="21">
        <v>20</v>
      </c>
    </row>
    <row r="432" spans="1:29" x14ac:dyDescent="0.35">
      <c r="A432" s="10" t="s">
        <v>1239</v>
      </c>
      <c r="B432" s="10" t="s">
        <v>1240</v>
      </c>
      <c r="C432">
        <f>D432+E432+F432+G432+H432+I432</f>
        <v>6</v>
      </c>
      <c r="D432" s="5">
        <v>0</v>
      </c>
      <c r="E432" s="5">
        <v>0</v>
      </c>
      <c r="F432" s="5">
        <v>6</v>
      </c>
      <c r="G432" s="5">
        <v>0</v>
      </c>
      <c r="H432" s="5">
        <v>0</v>
      </c>
      <c r="I432" s="5">
        <v>0</v>
      </c>
      <c r="J432" s="5">
        <v>3</v>
      </c>
      <c r="K432">
        <f>J432+L432</f>
        <v>3</v>
      </c>
      <c r="L432" s="5">
        <v>0</v>
      </c>
      <c r="M432" s="5">
        <v>3</v>
      </c>
      <c r="N432" s="5">
        <v>0</v>
      </c>
      <c r="O432" s="3">
        <f>N432/J432</f>
        <v>0</v>
      </c>
      <c r="P432" s="5">
        <v>0</v>
      </c>
      <c r="Q432" s="5">
        <v>0</v>
      </c>
      <c r="R432" s="8">
        <v>0</v>
      </c>
      <c r="S432" s="35">
        <v>0</v>
      </c>
      <c r="T432" s="35">
        <v>0</v>
      </c>
      <c r="U432" s="35">
        <v>0</v>
      </c>
      <c r="V432" s="35">
        <v>0</v>
      </c>
      <c r="W432" s="3">
        <v>0</v>
      </c>
      <c r="X432" s="3">
        <v>0</v>
      </c>
      <c r="Y432" s="3">
        <v>0</v>
      </c>
      <c r="Z432" s="35">
        <v>0</v>
      </c>
      <c r="AA432" s="10">
        <v>0</v>
      </c>
      <c r="AB432" s="10">
        <v>0</v>
      </c>
      <c r="AC432" s="10">
        <v>2</v>
      </c>
    </row>
    <row r="433" spans="1:29" x14ac:dyDescent="0.35">
      <c r="A433" s="34" t="s">
        <v>522</v>
      </c>
      <c r="B433" s="34" t="s">
        <v>523</v>
      </c>
      <c r="C433">
        <f>D433+E433+F433+G433+H433+I433</f>
        <v>24</v>
      </c>
      <c r="D433" s="5">
        <v>0</v>
      </c>
      <c r="E433" s="5">
        <v>2</v>
      </c>
      <c r="F433" s="5">
        <v>5</v>
      </c>
      <c r="G433" s="5">
        <v>3</v>
      </c>
      <c r="H433" s="5">
        <v>14</v>
      </c>
      <c r="I433" s="5">
        <v>0</v>
      </c>
      <c r="J433" s="5">
        <v>12</v>
      </c>
      <c r="K433">
        <f>J433+L433</f>
        <v>19</v>
      </c>
      <c r="L433" s="5">
        <v>7</v>
      </c>
      <c r="M433" s="5">
        <v>5</v>
      </c>
      <c r="N433" s="5">
        <v>124</v>
      </c>
      <c r="O433" s="3">
        <f>N433/J433</f>
        <v>10.333333333333334</v>
      </c>
      <c r="P433" s="5">
        <v>0</v>
      </c>
      <c r="Q433" s="5">
        <v>0</v>
      </c>
      <c r="R433" s="8">
        <v>20</v>
      </c>
      <c r="S433" s="40">
        <v>49</v>
      </c>
      <c r="T433" s="40">
        <v>9</v>
      </c>
      <c r="U433" s="40">
        <v>7</v>
      </c>
      <c r="V433" s="40">
        <v>187</v>
      </c>
      <c r="W433" s="3">
        <f>V433/S433</f>
        <v>3.8163265306122449</v>
      </c>
      <c r="X433" s="3">
        <f>V433/U433</f>
        <v>26.714285714285715</v>
      </c>
      <c r="Y433" s="4">
        <f>S433*6/U433</f>
        <v>42</v>
      </c>
      <c r="Z433" s="40">
        <v>2</v>
      </c>
      <c r="AA433" s="40">
        <v>0</v>
      </c>
      <c r="AB433" s="40">
        <v>0</v>
      </c>
      <c r="AC433" s="40">
        <v>2</v>
      </c>
    </row>
    <row r="434" spans="1:29" x14ac:dyDescent="0.35">
      <c r="A434" s="1" t="s">
        <v>524</v>
      </c>
      <c r="B434" s="1" t="s">
        <v>525</v>
      </c>
      <c r="C434">
        <f>D434+E434+F434+G434+H434+I434</f>
        <v>4</v>
      </c>
      <c r="D434" s="2">
        <v>0</v>
      </c>
      <c r="E434" s="2">
        <v>0</v>
      </c>
      <c r="F434" s="2">
        <v>0</v>
      </c>
      <c r="G434" s="2">
        <v>4</v>
      </c>
      <c r="H434" s="2">
        <v>0</v>
      </c>
      <c r="I434" s="2">
        <v>0</v>
      </c>
      <c r="J434" s="2">
        <v>2</v>
      </c>
      <c r="K434">
        <f>J434+L434</f>
        <v>3</v>
      </c>
      <c r="L434" s="2">
        <v>1</v>
      </c>
      <c r="M434" s="2">
        <v>1</v>
      </c>
      <c r="N434" s="2">
        <v>17</v>
      </c>
      <c r="O434" s="3">
        <f>N434/J434</f>
        <v>8.5</v>
      </c>
      <c r="P434" s="2">
        <v>0</v>
      </c>
      <c r="Q434" s="2">
        <v>0</v>
      </c>
      <c r="R434" s="2">
        <v>7</v>
      </c>
      <c r="S434" s="2">
        <v>4</v>
      </c>
      <c r="T434" s="2">
        <v>0</v>
      </c>
      <c r="U434" s="2">
        <v>0</v>
      </c>
      <c r="V434" s="2">
        <v>22</v>
      </c>
      <c r="W434" s="3">
        <f>V434/S434</f>
        <v>5.5</v>
      </c>
      <c r="X434" s="3" t="e">
        <f>V434/U434</f>
        <v>#DIV/0!</v>
      </c>
      <c r="Y434" s="4" t="e">
        <f>S434*6/U434</f>
        <v>#DIV/0!</v>
      </c>
      <c r="Z434" s="2">
        <v>0</v>
      </c>
      <c r="AA434" s="2">
        <v>0</v>
      </c>
      <c r="AB434" s="2">
        <v>0</v>
      </c>
      <c r="AC434" s="2">
        <v>0</v>
      </c>
    </row>
    <row r="435" spans="1:29" x14ac:dyDescent="0.35">
      <c r="A435" s="1" t="s">
        <v>524</v>
      </c>
      <c r="B435" s="1" t="s">
        <v>360</v>
      </c>
      <c r="C435">
        <f>D435+E435+F435+G435+H435+I435</f>
        <v>1</v>
      </c>
      <c r="D435" s="2">
        <v>0</v>
      </c>
      <c r="E435" s="2">
        <v>0</v>
      </c>
      <c r="F435" s="2">
        <v>0</v>
      </c>
      <c r="G435" s="2">
        <v>1</v>
      </c>
      <c r="H435" s="2">
        <v>0</v>
      </c>
      <c r="I435" s="2">
        <v>0</v>
      </c>
      <c r="J435" s="2">
        <v>1</v>
      </c>
      <c r="K435">
        <f>J435+L435</f>
        <v>1</v>
      </c>
      <c r="L435" s="2">
        <v>0</v>
      </c>
      <c r="M435" s="2">
        <v>0</v>
      </c>
      <c r="N435" s="2">
        <v>4</v>
      </c>
      <c r="O435" s="3">
        <f>N435/J435</f>
        <v>4</v>
      </c>
      <c r="P435" s="2">
        <v>0</v>
      </c>
      <c r="Q435" s="2">
        <v>0</v>
      </c>
      <c r="R435" s="2">
        <v>4</v>
      </c>
      <c r="S435" s="2">
        <v>2</v>
      </c>
      <c r="T435" s="2">
        <v>0</v>
      </c>
      <c r="U435" s="2">
        <v>0</v>
      </c>
      <c r="V435" s="2">
        <v>8</v>
      </c>
      <c r="W435" s="3">
        <f>V435/S435</f>
        <v>4</v>
      </c>
      <c r="X435" s="3" t="e">
        <f>V435/U435</f>
        <v>#DIV/0!</v>
      </c>
      <c r="Y435" s="4" t="e">
        <f>S435*6/U435</f>
        <v>#DIV/0!</v>
      </c>
      <c r="Z435" s="2">
        <v>0</v>
      </c>
      <c r="AA435" s="2">
        <v>0</v>
      </c>
      <c r="AB435" s="2">
        <v>0</v>
      </c>
      <c r="AC435" s="2">
        <v>0</v>
      </c>
    </row>
    <row r="436" spans="1:29" x14ac:dyDescent="0.35">
      <c r="A436" s="1" t="s">
        <v>526</v>
      </c>
      <c r="B436" s="1" t="s">
        <v>527</v>
      </c>
      <c r="C436">
        <f>D436+E436+F436+G436+H436+I436</f>
        <v>4</v>
      </c>
      <c r="D436" s="2">
        <v>0</v>
      </c>
      <c r="E436" s="2">
        <v>0</v>
      </c>
      <c r="F436" s="2">
        <v>4</v>
      </c>
      <c r="G436" s="2">
        <v>0</v>
      </c>
      <c r="H436" s="2">
        <v>0</v>
      </c>
      <c r="I436" s="2">
        <v>0</v>
      </c>
      <c r="J436" s="2">
        <v>4</v>
      </c>
      <c r="K436">
        <f>J436+L436</f>
        <v>4</v>
      </c>
      <c r="L436" s="2">
        <v>0</v>
      </c>
      <c r="M436" s="2">
        <v>0</v>
      </c>
      <c r="N436" s="2">
        <v>52</v>
      </c>
      <c r="O436" s="3">
        <f>N436/J436</f>
        <v>13</v>
      </c>
      <c r="P436" s="2">
        <v>0</v>
      </c>
      <c r="Q436" s="2">
        <v>0</v>
      </c>
      <c r="R436" s="2">
        <v>27</v>
      </c>
      <c r="S436" s="2">
        <v>0</v>
      </c>
      <c r="T436" s="2">
        <v>0</v>
      </c>
      <c r="U436" s="2">
        <v>0</v>
      </c>
      <c r="V436" s="2">
        <v>0</v>
      </c>
      <c r="W436" s="3" t="e">
        <f>V436/S436</f>
        <v>#DIV/0!</v>
      </c>
      <c r="X436" s="3" t="e">
        <f>V436/U436</f>
        <v>#DIV/0!</v>
      </c>
      <c r="Y436" s="4" t="e">
        <f>S436*6/U436</f>
        <v>#DIV/0!</v>
      </c>
      <c r="Z436" s="2">
        <v>0</v>
      </c>
      <c r="AA436" s="2">
        <v>0</v>
      </c>
      <c r="AB436" s="2">
        <v>0</v>
      </c>
      <c r="AC436" s="2">
        <v>1</v>
      </c>
    </row>
    <row r="437" spans="1:29" x14ac:dyDescent="0.35">
      <c r="A437" s="1" t="s">
        <v>528</v>
      </c>
      <c r="B437" s="1" t="s">
        <v>66</v>
      </c>
      <c r="C437">
        <f>D437+E437+F437+G437+H437+I437</f>
        <v>1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1</v>
      </c>
      <c r="J437" s="2">
        <v>1</v>
      </c>
      <c r="K437">
        <f>J437+L437</f>
        <v>1</v>
      </c>
      <c r="L437" s="2">
        <v>0</v>
      </c>
      <c r="M437" s="2">
        <v>0</v>
      </c>
      <c r="N437" s="2">
        <v>6</v>
      </c>
      <c r="O437" s="3">
        <f>N437/J437</f>
        <v>6</v>
      </c>
      <c r="P437" s="2">
        <v>0</v>
      </c>
      <c r="Q437" s="2">
        <v>0</v>
      </c>
      <c r="R437" s="2">
        <v>6</v>
      </c>
      <c r="S437" s="2">
        <v>10</v>
      </c>
      <c r="T437" s="2">
        <v>1</v>
      </c>
      <c r="U437" s="2">
        <v>2</v>
      </c>
      <c r="V437" s="2">
        <v>29</v>
      </c>
      <c r="W437" s="3">
        <f>V437/S437</f>
        <v>2.9</v>
      </c>
      <c r="X437" s="3">
        <f>V437/U437</f>
        <v>14.5</v>
      </c>
      <c r="Y437" s="4">
        <f>S437*6/U437</f>
        <v>30</v>
      </c>
      <c r="Z437" s="2">
        <v>2</v>
      </c>
      <c r="AA437" s="2">
        <v>0</v>
      </c>
      <c r="AB437" s="2">
        <v>0</v>
      </c>
      <c r="AC437" s="2">
        <v>0</v>
      </c>
    </row>
    <row r="438" spans="1:29" x14ac:dyDescent="0.35">
      <c r="A438" s="1" t="s">
        <v>529</v>
      </c>
      <c r="B438" s="1" t="s">
        <v>134</v>
      </c>
      <c r="C438">
        <f>D438+E438+F438+G438+H438+I438</f>
        <v>37</v>
      </c>
      <c r="D438" s="2">
        <v>0</v>
      </c>
      <c r="E438" s="2">
        <v>10</v>
      </c>
      <c r="F438" s="2">
        <v>13</v>
      </c>
      <c r="G438" s="2">
        <v>1</v>
      </c>
      <c r="H438" s="2">
        <v>13</v>
      </c>
      <c r="I438" s="2">
        <v>0</v>
      </c>
      <c r="J438" s="2">
        <v>74</v>
      </c>
      <c r="K438">
        <f>J438+L438</f>
        <v>78</v>
      </c>
      <c r="L438" s="2">
        <v>4</v>
      </c>
      <c r="M438" s="2">
        <v>3</v>
      </c>
      <c r="N438" s="2">
        <v>1157</v>
      </c>
      <c r="O438" s="3">
        <f>N438/J438</f>
        <v>15.635135135135135</v>
      </c>
      <c r="P438" s="2">
        <v>1</v>
      </c>
      <c r="Q438" s="2">
        <v>1</v>
      </c>
      <c r="R438" s="2">
        <v>108</v>
      </c>
      <c r="S438" s="2">
        <v>108</v>
      </c>
      <c r="T438" s="2">
        <v>19</v>
      </c>
      <c r="U438" s="2">
        <v>25</v>
      </c>
      <c r="V438" s="2">
        <v>394</v>
      </c>
      <c r="W438" s="3">
        <f>V438/S438</f>
        <v>3.6481481481481484</v>
      </c>
      <c r="X438" s="3">
        <f>V438/U438</f>
        <v>15.76</v>
      </c>
      <c r="Y438" s="4">
        <f>S438*6/U438</f>
        <v>25.92</v>
      </c>
      <c r="Z438" s="2">
        <v>3</v>
      </c>
      <c r="AA438" s="2">
        <v>0</v>
      </c>
      <c r="AB438" s="2">
        <v>0</v>
      </c>
      <c r="AC438" s="2">
        <v>9</v>
      </c>
    </row>
    <row r="439" spans="1:29" x14ac:dyDescent="0.35">
      <c r="A439" s="1" t="s">
        <v>530</v>
      </c>
      <c r="B439" s="1" t="s">
        <v>208</v>
      </c>
      <c r="C439">
        <f>D439+E439+F439+G439+H439+I439</f>
        <v>178</v>
      </c>
      <c r="D439" s="2">
        <v>10</v>
      </c>
      <c r="E439" s="2">
        <v>15</v>
      </c>
      <c r="F439" s="2">
        <v>14</v>
      </c>
      <c r="G439" s="2">
        <v>35</v>
      </c>
      <c r="H439" s="2">
        <v>98</v>
      </c>
      <c r="I439" s="2">
        <v>6</v>
      </c>
      <c r="J439" s="2">
        <v>165</v>
      </c>
      <c r="K439">
        <f>J439+L439</f>
        <v>198</v>
      </c>
      <c r="L439" s="2">
        <v>33</v>
      </c>
      <c r="M439" s="2">
        <v>28</v>
      </c>
      <c r="N439" s="2">
        <v>4808</v>
      </c>
      <c r="O439" s="3">
        <f>N439/J439</f>
        <v>29.139393939393941</v>
      </c>
      <c r="P439" s="2">
        <v>32</v>
      </c>
      <c r="Q439" s="2">
        <v>2</v>
      </c>
      <c r="R439" s="2">
        <v>118</v>
      </c>
      <c r="S439" s="2">
        <v>663</v>
      </c>
      <c r="T439" s="2">
        <v>144</v>
      </c>
      <c r="U439" s="2">
        <v>85</v>
      </c>
      <c r="V439" s="2">
        <v>1900</v>
      </c>
      <c r="W439" s="3">
        <f>V439/S439</f>
        <v>2.8657616892911011</v>
      </c>
      <c r="X439" s="3">
        <f>V439/U439</f>
        <v>22.352941176470587</v>
      </c>
      <c r="Y439" s="4">
        <f>S439*6/U439</f>
        <v>46.8</v>
      </c>
      <c r="Z439" s="2">
        <v>6</v>
      </c>
      <c r="AA439" s="2">
        <v>4</v>
      </c>
      <c r="AB439" s="2">
        <v>0</v>
      </c>
      <c r="AC439" s="2">
        <v>50</v>
      </c>
    </row>
    <row r="440" spans="1:29" x14ac:dyDescent="0.35">
      <c r="A440" s="1" t="s">
        <v>530</v>
      </c>
      <c r="B440" s="1" t="s">
        <v>172</v>
      </c>
      <c r="C440">
        <f>D440+E440+F440+G440+H440+I440</f>
        <v>18</v>
      </c>
      <c r="D440" s="2">
        <v>4</v>
      </c>
      <c r="E440" s="2">
        <v>14</v>
      </c>
      <c r="F440" s="2">
        <v>0</v>
      </c>
      <c r="G440" s="2">
        <v>0</v>
      </c>
      <c r="H440" s="2">
        <v>0</v>
      </c>
      <c r="I440" s="2">
        <v>0</v>
      </c>
      <c r="J440" s="2">
        <v>9</v>
      </c>
      <c r="K440">
        <f>J440+L440</f>
        <v>12</v>
      </c>
      <c r="L440" s="2">
        <v>3</v>
      </c>
      <c r="M440" s="2">
        <v>4</v>
      </c>
      <c r="N440" s="2">
        <v>65</v>
      </c>
      <c r="O440" s="3">
        <f>N440/J440</f>
        <v>7.2222222222222223</v>
      </c>
      <c r="P440" s="2">
        <v>0</v>
      </c>
      <c r="Q440" s="2">
        <v>0</v>
      </c>
      <c r="R440" s="2">
        <v>10</v>
      </c>
      <c r="S440" s="2">
        <v>198</v>
      </c>
      <c r="T440" s="2">
        <v>51</v>
      </c>
      <c r="U440" s="2">
        <v>28</v>
      </c>
      <c r="V440" s="2">
        <v>467</v>
      </c>
      <c r="W440" s="3">
        <f>V440/S440</f>
        <v>2.3585858585858586</v>
      </c>
      <c r="X440" s="3">
        <f>V440/U440</f>
        <v>16.678571428571427</v>
      </c>
      <c r="Y440" s="4">
        <f>S440*6/U440</f>
        <v>42.428571428571431</v>
      </c>
      <c r="Z440" s="2">
        <v>6</v>
      </c>
      <c r="AA440" s="2">
        <v>2</v>
      </c>
      <c r="AB440" s="2">
        <v>1</v>
      </c>
      <c r="AC440" s="2">
        <v>2</v>
      </c>
    </row>
    <row r="441" spans="1:29" x14ac:dyDescent="0.35">
      <c r="A441" s="1" t="s">
        <v>531</v>
      </c>
      <c r="B441" s="1" t="s">
        <v>156</v>
      </c>
      <c r="C441">
        <f>D441+E441+F441+G441+H441+I441</f>
        <v>3</v>
      </c>
      <c r="D441" s="2">
        <v>0</v>
      </c>
      <c r="E441" s="2">
        <v>0</v>
      </c>
      <c r="F441" s="2">
        <v>0</v>
      </c>
      <c r="G441" s="2">
        <v>3</v>
      </c>
      <c r="H441" s="2">
        <v>0</v>
      </c>
      <c r="I441" s="2">
        <v>0</v>
      </c>
      <c r="J441" s="2">
        <v>3</v>
      </c>
      <c r="K441">
        <f>J441+L441</f>
        <v>3</v>
      </c>
      <c r="L441" s="2">
        <v>0</v>
      </c>
      <c r="M441" s="2">
        <v>0</v>
      </c>
      <c r="N441" s="2">
        <v>60</v>
      </c>
      <c r="O441" s="3">
        <f>N441/J441</f>
        <v>20</v>
      </c>
      <c r="P441" s="2">
        <v>0</v>
      </c>
      <c r="Q441" s="2">
        <v>0</v>
      </c>
      <c r="R441" s="2">
        <v>29</v>
      </c>
      <c r="S441" s="2">
        <v>8</v>
      </c>
      <c r="T441" s="2">
        <v>1</v>
      </c>
      <c r="U441" s="2">
        <v>2</v>
      </c>
      <c r="V441" s="2">
        <v>48</v>
      </c>
      <c r="W441" s="3">
        <f>V441/S441</f>
        <v>6</v>
      </c>
      <c r="X441" s="3">
        <f>V441/U441</f>
        <v>24</v>
      </c>
      <c r="Y441" s="4">
        <f>S441*6/U441</f>
        <v>24</v>
      </c>
      <c r="Z441" s="2">
        <v>1</v>
      </c>
      <c r="AA441" s="2">
        <v>0</v>
      </c>
      <c r="AB441" s="2">
        <v>0</v>
      </c>
      <c r="AC441" s="2">
        <v>1</v>
      </c>
    </row>
    <row r="442" spans="1:29" x14ac:dyDescent="0.35">
      <c r="A442" s="1" t="s">
        <v>531</v>
      </c>
      <c r="B442" s="1" t="s">
        <v>16</v>
      </c>
      <c r="C442">
        <f>D442+E442+F442+G442+H442+I442</f>
        <v>1</v>
      </c>
      <c r="D442" s="2">
        <v>0</v>
      </c>
      <c r="E442" s="2">
        <v>0</v>
      </c>
      <c r="F442" s="2">
        <v>0</v>
      </c>
      <c r="G442" s="2">
        <v>1</v>
      </c>
      <c r="H442" s="2">
        <v>0</v>
      </c>
      <c r="I442" s="2">
        <v>0</v>
      </c>
      <c r="J442" s="2">
        <v>0</v>
      </c>
      <c r="K442">
        <f>J442+L442</f>
        <v>0</v>
      </c>
      <c r="L442" s="2">
        <v>0</v>
      </c>
      <c r="M442" s="2">
        <v>1</v>
      </c>
      <c r="N442" s="2">
        <v>0</v>
      </c>
      <c r="O442" s="3" t="e">
        <f>N442/J442</f>
        <v>#DIV/0!</v>
      </c>
      <c r="P442" s="2">
        <v>0</v>
      </c>
      <c r="Q442" s="2">
        <v>0</v>
      </c>
      <c r="R442" s="2">
        <v>0</v>
      </c>
      <c r="S442" s="2">
        <v>5</v>
      </c>
      <c r="T442" s="2">
        <v>1</v>
      </c>
      <c r="U442" s="2">
        <v>1</v>
      </c>
      <c r="V442" s="2">
        <v>26</v>
      </c>
      <c r="W442" s="3">
        <f>V442/S442</f>
        <v>5.2</v>
      </c>
      <c r="X442" s="3">
        <f>V442/U442</f>
        <v>26</v>
      </c>
      <c r="Y442" s="4">
        <f>S442*6/U442</f>
        <v>30</v>
      </c>
      <c r="Z442" s="2">
        <v>1</v>
      </c>
      <c r="AA442" s="2">
        <v>0</v>
      </c>
      <c r="AB442" s="2">
        <v>0</v>
      </c>
      <c r="AC442" s="2">
        <v>0</v>
      </c>
    </row>
    <row r="443" spans="1:29" x14ac:dyDescent="0.35">
      <c r="A443" s="1" t="s">
        <v>532</v>
      </c>
      <c r="B443" s="1" t="s">
        <v>533</v>
      </c>
      <c r="C443">
        <f>D443+E443+F443+G443+H443+I443</f>
        <v>13</v>
      </c>
      <c r="D443" s="2">
        <v>0</v>
      </c>
      <c r="E443" s="2">
        <v>0</v>
      </c>
      <c r="F443" s="2">
        <v>1</v>
      </c>
      <c r="G443" s="2">
        <v>0</v>
      </c>
      <c r="H443" s="2">
        <v>1</v>
      </c>
      <c r="I443" s="2">
        <v>11</v>
      </c>
      <c r="J443" s="2">
        <v>9</v>
      </c>
      <c r="K443">
        <f>J443+L443</f>
        <v>12</v>
      </c>
      <c r="L443" s="2">
        <v>3</v>
      </c>
      <c r="M443" s="2">
        <v>0</v>
      </c>
      <c r="N443" s="2">
        <v>217</v>
      </c>
      <c r="O443" s="3">
        <f>N443/J443</f>
        <v>24.111111111111111</v>
      </c>
      <c r="P443" s="2">
        <v>1</v>
      </c>
      <c r="Q443" s="2">
        <v>0</v>
      </c>
      <c r="R443" s="2">
        <v>55</v>
      </c>
      <c r="S443" s="2">
        <v>167</v>
      </c>
      <c r="T443" s="2">
        <v>34</v>
      </c>
      <c r="U443" s="2">
        <v>21</v>
      </c>
      <c r="V443" s="2">
        <v>419</v>
      </c>
      <c r="W443" s="3">
        <f>V443/S443</f>
        <v>2.5089820359281436</v>
      </c>
      <c r="X443" s="3">
        <f>V443/U443</f>
        <v>19.952380952380953</v>
      </c>
      <c r="Y443" s="4">
        <f>S443*6/U443</f>
        <v>47.714285714285715</v>
      </c>
      <c r="Z443" s="2">
        <v>5</v>
      </c>
      <c r="AA443" s="2">
        <v>1</v>
      </c>
      <c r="AB443" s="2">
        <v>0</v>
      </c>
      <c r="AC443" s="2">
        <v>7</v>
      </c>
    </row>
    <row r="444" spans="1:29" x14ac:dyDescent="0.35">
      <c r="A444" s="1" t="s">
        <v>534</v>
      </c>
      <c r="B444" s="1" t="s">
        <v>535</v>
      </c>
      <c r="C444">
        <f>D444+E444+F444+G444+H444+I444</f>
        <v>3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3</v>
      </c>
      <c r="J444" s="2">
        <v>3</v>
      </c>
      <c r="K444">
        <f>J444+L444</f>
        <v>3</v>
      </c>
      <c r="L444" s="2">
        <v>0</v>
      </c>
      <c r="M444" s="2">
        <v>0</v>
      </c>
      <c r="N444" s="2">
        <v>14</v>
      </c>
      <c r="O444" s="3">
        <f>N444/J444</f>
        <v>4.666666666666667</v>
      </c>
      <c r="P444" s="2">
        <v>0</v>
      </c>
      <c r="Q444" s="2">
        <v>0</v>
      </c>
      <c r="R444" s="2">
        <v>8</v>
      </c>
      <c r="S444" s="2">
        <v>24</v>
      </c>
      <c r="T444" s="2">
        <v>1</v>
      </c>
      <c r="U444" s="2">
        <v>3</v>
      </c>
      <c r="V444" s="2">
        <v>68</v>
      </c>
      <c r="W444" s="3">
        <f>V444/S444</f>
        <v>2.8333333333333335</v>
      </c>
      <c r="X444" s="3">
        <f>V444/U444</f>
        <v>22.666666666666668</v>
      </c>
      <c r="Y444" s="4">
        <f>S444*6/U444</f>
        <v>48</v>
      </c>
      <c r="Z444" s="2">
        <v>3</v>
      </c>
      <c r="AA444" s="2">
        <v>0</v>
      </c>
      <c r="AB444" s="2">
        <v>0</v>
      </c>
      <c r="AC444" s="2">
        <v>0</v>
      </c>
    </row>
    <row r="445" spans="1:29" x14ac:dyDescent="0.35">
      <c r="A445" s="1" t="s">
        <v>536</v>
      </c>
      <c r="B445" s="1" t="s">
        <v>409</v>
      </c>
      <c r="C445">
        <f>D445+E445+F445+G445+H445+I445</f>
        <v>18</v>
      </c>
      <c r="D445" s="2">
        <v>0</v>
      </c>
      <c r="E445" s="2">
        <v>1</v>
      </c>
      <c r="F445" s="2">
        <v>1</v>
      </c>
      <c r="G445" s="2">
        <v>10</v>
      </c>
      <c r="H445" s="2">
        <v>6</v>
      </c>
      <c r="I445" s="2">
        <v>0</v>
      </c>
      <c r="J445" s="2">
        <v>5</v>
      </c>
      <c r="K445">
        <f>J445+L445</f>
        <v>7</v>
      </c>
      <c r="L445" s="2">
        <v>2</v>
      </c>
      <c r="M445" s="2">
        <v>11</v>
      </c>
      <c r="N445" s="2">
        <v>8</v>
      </c>
      <c r="O445" s="3">
        <f>N445/J445</f>
        <v>1.6</v>
      </c>
      <c r="P445" s="2">
        <v>0</v>
      </c>
      <c r="Q445" s="2">
        <v>0</v>
      </c>
      <c r="R445" s="2">
        <v>6</v>
      </c>
      <c r="S445" s="2">
        <v>80</v>
      </c>
      <c r="T445" s="2">
        <v>13</v>
      </c>
      <c r="U445" s="2">
        <v>13</v>
      </c>
      <c r="V445" s="2">
        <v>276</v>
      </c>
      <c r="W445" s="3">
        <f>V445/S445</f>
        <v>3.45</v>
      </c>
      <c r="X445" s="3">
        <f>V445/U445</f>
        <v>21.23076923076923</v>
      </c>
      <c r="Y445" s="4">
        <f>S445*6/U445</f>
        <v>36.92307692307692</v>
      </c>
      <c r="Z445" s="2">
        <v>5</v>
      </c>
      <c r="AA445" s="2">
        <v>1</v>
      </c>
      <c r="AB445" s="2">
        <v>0</v>
      </c>
      <c r="AC445" s="2">
        <v>1</v>
      </c>
    </row>
    <row r="446" spans="1:29" x14ac:dyDescent="0.35">
      <c r="A446" s="1" t="s">
        <v>537</v>
      </c>
      <c r="B446" s="1" t="s">
        <v>97</v>
      </c>
      <c r="C446">
        <f>D446+E446+F446+G446+H446+I446</f>
        <v>10</v>
      </c>
      <c r="D446" s="2">
        <v>0</v>
      </c>
      <c r="E446" s="2">
        <v>0</v>
      </c>
      <c r="F446" s="2">
        <v>0</v>
      </c>
      <c r="G446" s="2">
        <v>9</v>
      </c>
      <c r="H446" s="2">
        <v>1</v>
      </c>
      <c r="I446" s="2">
        <v>0</v>
      </c>
      <c r="J446" s="2">
        <v>6</v>
      </c>
      <c r="K446">
        <f>J446+L446</f>
        <v>10</v>
      </c>
      <c r="L446" s="2">
        <v>4</v>
      </c>
      <c r="M446" s="2">
        <v>1</v>
      </c>
      <c r="N446" s="2">
        <v>361</v>
      </c>
      <c r="O446" s="3">
        <f>N446/J446</f>
        <v>60.166666666666664</v>
      </c>
      <c r="P446" s="2">
        <v>1</v>
      </c>
      <c r="Q446" s="2">
        <v>1</v>
      </c>
      <c r="R446" s="2">
        <v>184</v>
      </c>
      <c r="S446" s="2">
        <v>4</v>
      </c>
      <c r="T446" s="2">
        <v>1</v>
      </c>
      <c r="U446" s="2">
        <v>1</v>
      </c>
      <c r="V446" s="2">
        <v>32</v>
      </c>
      <c r="W446" s="3">
        <f>V446/S446</f>
        <v>8</v>
      </c>
      <c r="X446" s="3">
        <f>V446/U446</f>
        <v>32</v>
      </c>
      <c r="Y446" s="4">
        <f>S446*6/U446</f>
        <v>24</v>
      </c>
      <c r="Z446" s="2">
        <v>1</v>
      </c>
      <c r="AA446" s="2">
        <v>0</v>
      </c>
      <c r="AB446" s="2">
        <v>0</v>
      </c>
      <c r="AC446" s="2">
        <v>8</v>
      </c>
    </row>
    <row r="447" spans="1:29" x14ac:dyDescent="0.35">
      <c r="A447" s="15" t="s">
        <v>538</v>
      </c>
      <c r="B447" s="15" t="s">
        <v>539</v>
      </c>
      <c r="C447" s="18">
        <f>D447+E447+F447+G447+H447+I447</f>
        <v>176</v>
      </c>
      <c r="D447" s="16">
        <f>126+13</f>
        <v>139</v>
      </c>
      <c r="E447" s="16">
        <v>22</v>
      </c>
      <c r="F447" s="16">
        <v>5</v>
      </c>
      <c r="G447" s="16">
        <v>10</v>
      </c>
      <c r="H447" s="16">
        <v>0</v>
      </c>
      <c r="I447" s="16">
        <v>0</v>
      </c>
      <c r="J447" s="16">
        <f>143+8</f>
        <v>151</v>
      </c>
      <c r="K447" s="18">
        <f>J447+L447</f>
        <v>163</v>
      </c>
      <c r="L447" s="16">
        <v>12</v>
      </c>
      <c r="M447" s="16">
        <v>30</v>
      </c>
      <c r="N447" s="16">
        <f>1783+209</f>
        <v>1992</v>
      </c>
      <c r="O447" s="19">
        <f>N447/J447</f>
        <v>13.19205298013245</v>
      </c>
      <c r="P447" s="16">
        <v>3</v>
      </c>
      <c r="Q447" s="16">
        <v>0</v>
      </c>
      <c r="R447" s="16">
        <v>68</v>
      </c>
      <c r="S447" s="16">
        <f>1231.3+91.1</f>
        <v>1322.3999999999999</v>
      </c>
      <c r="T447" s="16">
        <f>194+9</f>
        <v>203</v>
      </c>
      <c r="U447" s="16">
        <f>185+17</f>
        <v>202</v>
      </c>
      <c r="V447" s="16">
        <f>4378+285</f>
        <v>4663</v>
      </c>
      <c r="W447" s="19">
        <f>V447/S447</f>
        <v>3.5261645493042955</v>
      </c>
      <c r="X447" s="19">
        <f>V447/U447</f>
        <v>23.084158415841586</v>
      </c>
      <c r="Y447" s="20">
        <f>S447*6/U447</f>
        <v>39.279207920792075</v>
      </c>
      <c r="Z447" s="16">
        <v>6</v>
      </c>
      <c r="AA447" s="16">
        <v>2</v>
      </c>
      <c r="AB447" s="16">
        <v>0</v>
      </c>
      <c r="AC447" s="16">
        <v>73</v>
      </c>
    </row>
    <row r="448" spans="1:29" x14ac:dyDescent="0.35">
      <c r="A448" s="1" t="s">
        <v>538</v>
      </c>
      <c r="B448" s="1" t="s">
        <v>295</v>
      </c>
      <c r="C448">
        <f>D448+E448+F448+G448+H448+I448</f>
        <v>1</v>
      </c>
      <c r="D448" s="2">
        <v>0</v>
      </c>
      <c r="E448" s="2">
        <v>0</v>
      </c>
      <c r="F448" s="2">
        <v>0</v>
      </c>
      <c r="G448" s="2">
        <v>1</v>
      </c>
      <c r="H448" s="2">
        <v>0</v>
      </c>
      <c r="I448" s="2">
        <v>0</v>
      </c>
      <c r="J448" s="2">
        <v>0</v>
      </c>
      <c r="K448">
        <f>J448+L448</f>
        <v>1</v>
      </c>
      <c r="L448" s="2">
        <v>1</v>
      </c>
      <c r="M448" s="2">
        <v>0</v>
      </c>
      <c r="N448" s="2">
        <v>0</v>
      </c>
      <c r="O448" s="3" t="e">
        <f>N448/J448</f>
        <v>#DIV/0!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0</v>
      </c>
      <c r="V448" s="2">
        <v>0</v>
      </c>
      <c r="W448" s="3" t="e">
        <f>V448/S448</f>
        <v>#DIV/0!</v>
      </c>
      <c r="X448" s="3" t="e">
        <f>V448/U448</f>
        <v>#DIV/0!</v>
      </c>
      <c r="Y448" s="4" t="e">
        <f>S448*6/U448</f>
        <v>#DIV/0!</v>
      </c>
      <c r="Z448" s="2">
        <v>0</v>
      </c>
      <c r="AA448" s="2">
        <v>0</v>
      </c>
      <c r="AB448" s="2">
        <v>0</v>
      </c>
      <c r="AC448" s="2">
        <v>0</v>
      </c>
    </row>
    <row r="449" spans="1:29" x14ac:dyDescent="0.35">
      <c r="A449" s="1" t="s">
        <v>540</v>
      </c>
      <c r="B449" s="1" t="s">
        <v>541</v>
      </c>
      <c r="C449">
        <f>D449+E449+F449+G449+H449+I449</f>
        <v>2</v>
      </c>
      <c r="D449" s="2">
        <v>2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2</v>
      </c>
      <c r="K449">
        <f>J449+L449</f>
        <v>2</v>
      </c>
      <c r="L449" s="2">
        <v>0</v>
      </c>
      <c r="M449" s="2">
        <v>0</v>
      </c>
      <c r="N449" s="2">
        <v>23</v>
      </c>
      <c r="O449" s="3">
        <f>N449/J449</f>
        <v>11.5</v>
      </c>
      <c r="P449" s="2">
        <v>0</v>
      </c>
      <c r="Q449" s="2">
        <v>0</v>
      </c>
      <c r="R449" s="2">
        <v>13</v>
      </c>
      <c r="S449" s="2">
        <v>21</v>
      </c>
      <c r="T449" s="2">
        <v>1</v>
      </c>
      <c r="U449" s="2">
        <v>2</v>
      </c>
      <c r="V449" s="2">
        <v>51</v>
      </c>
      <c r="W449" s="3">
        <f>V449/S449</f>
        <v>2.4285714285714284</v>
      </c>
      <c r="X449" s="3">
        <f>V449/U449</f>
        <v>25.5</v>
      </c>
      <c r="Y449" s="4">
        <f>S449*6/U449</f>
        <v>63</v>
      </c>
      <c r="Z449" s="2">
        <v>1</v>
      </c>
      <c r="AA449" s="2">
        <v>0</v>
      </c>
      <c r="AB449" s="2">
        <v>0</v>
      </c>
      <c r="AC449" s="2">
        <v>0</v>
      </c>
    </row>
    <row r="450" spans="1:29" x14ac:dyDescent="0.35">
      <c r="A450" s="1" t="s">
        <v>542</v>
      </c>
      <c r="B450" s="1" t="s">
        <v>165</v>
      </c>
      <c r="C450">
        <f>D450+E450+F450+G450+H450+I450</f>
        <v>8</v>
      </c>
      <c r="D450" s="2">
        <v>0</v>
      </c>
      <c r="E450" s="2">
        <v>0</v>
      </c>
      <c r="F450" s="2">
        <v>0</v>
      </c>
      <c r="G450" s="2">
        <v>3</v>
      </c>
      <c r="H450" s="2">
        <v>2</v>
      </c>
      <c r="I450" s="2">
        <v>3</v>
      </c>
      <c r="J450" s="2">
        <v>9</v>
      </c>
      <c r="K450">
        <f>J450+L450</f>
        <v>9</v>
      </c>
      <c r="L450" s="2">
        <v>0</v>
      </c>
      <c r="M450" s="2">
        <v>0</v>
      </c>
      <c r="N450" s="2">
        <v>114</v>
      </c>
      <c r="O450" s="3">
        <f>N450/J450</f>
        <v>12.666666666666666</v>
      </c>
      <c r="P450" s="2">
        <v>0</v>
      </c>
      <c r="Q450" s="2">
        <v>0</v>
      </c>
      <c r="R450" s="2">
        <v>37</v>
      </c>
      <c r="S450" s="2">
        <v>74</v>
      </c>
      <c r="T450" s="2">
        <v>8</v>
      </c>
      <c r="U450" s="2">
        <v>11</v>
      </c>
      <c r="V450" s="2">
        <v>214</v>
      </c>
      <c r="W450" s="3">
        <f>V450/S450</f>
        <v>2.8918918918918921</v>
      </c>
      <c r="X450" s="3">
        <f>V450/U450</f>
        <v>19.454545454545453</v>
      </c>
      <c r="Y450" s="4">
        <f>S450*6/U450</f>
        <v>40.363636363636367</v>
      </c>
      <c r="Z450" s="2">
        <v>4</v>
      </c>
      <c r="AA450" s="2">
        <v>0</v>
      </c>
      <c r="AB450" s="2">
        <v>0</v>
      </c>
      <c r="AC450" s="2">
        <v>0</v>
      </c>
    </row>
    <row r="451" spans="1:29" x14ac:dyDescent="0.35">
      <c r="A451" s="1" t="s">
        <v>543</v>
      </c>
      <c r="B451" s="1" t="s">
        <v>146</v>
      </c>
      <c r="C451">
        <f>D451+E451+F451+G451+H451+I451</f>
        <v>3</v>
      </c>
      <c r="D451" s="2">
        <v>3</v>
      </c>
      <c r="E451" s="2">
        <v>0</v>
      </c>
      <c r="F451" s="2">
        <v>0</v>
      </c>
      <c r="G451" s="2">
        <v>0</v>
      </c>
      <c r="H451" s="2">
        <v>0</v>
      </c>
      <c r="I451" s="2">
        <v>0</v>
      </c>
      <c r="J451" s="2">
        <v>3</v>
      </c>
      <c r="K451">
        <f>J451+L451</f>
        <v>3</v>
      </c>
      <c r="L451" s="2">
        <v>0</v>
      </c>
      <c r="M451" s="2">
        <v>0</v>
      </c>
      <c r="N451" s="2">
        <v>131</v>
      </c>
      <c r="O451" s="3">
        <f>N451/J451</f>
        <v>43.666666666666664</v>
      </c>
      <c r="P451" s="2">
        <v>1</v>
      </c>
      <c r="Q451" s="2">
        <v>0</v>
      </c>
      <c r="R451" s="2">
        <v>50</v>
      </c>
      <c r="S451" s="2">
        <v>16</v>
      </c>
      <c r="T451" s="2">
        <v>0</v>
      </c>
      <c r="U451" s="2">
        <v>2</v>
      </c>
      <c r="V451" s="2">
        <v>55</v>
      </c>
      <c r="W451" s="3">
        <f>V451/S451</f>
        <v>3.4375</v>
      </c>
      <c r="X451" s="3">
        <f>V451/U451</f>
        <v>27.5</v>
      </c>
      <c r="Y451" s="4">
        <f>S451*6/U451</f>
        <v>48</v>
      </c>
      <c r="Z451" s="2">
        <v>1</v>
      </c>
      <c r="AA451" s="2">
        <v>0</v>
      </c>
      <c r="AB451" s="2">
        <v>0</v>
      </c>
      <c r="AC451" s="2">
        <v>0</v>
      </c>
    </row>
    <row r="452" spans="1:29" x14ac:dyDescent="0.35">
      <c r="A452" s="11" t="s">
        <v>1177</v>
      </c>
      <c r="B452" s="11" t="s">
        <v>1178</v>
      </c>
      <c r="C452">
        <f>D452+E452+F452+G452+H452+I452</f>
        <v>1</v>
      </c>
      <c r="D452" s="2">
        <v>0</v>
      </c>
      <c r="E452" s="2">
        <v>0</v>
      </c>
      <c r="F452" s="2">
        <v>0</v>
      </c>
      <c r="G452" s="2">
        <v>1</v>
      </c>
      <c r="H452" s="2">
        <v>0</v>
      </c>
      <c r="I452" s="2">
        <v>0</v>
      </c>
      <c r="J452" s="2">
        <v>1</v>
      </c>
      <c r="K452">
        <f>J452+L452</f>
        <v>1</v>
      </c>
      <c r="L452" s="2">
        <v>0</v>
      </c>
      <c r="M452" s="2">
        <v>0</v>
      </c>
      <c r="N452" s="2">
        <v>10</v>
      </c>
      <c r="O452" s="3">
        <f>N452/J452</f>
        <v>10</v>
      </c>
      <c r="P452" s="2">
        <v>0</v>
      </c>
      <c r="Q452" s="2">
        <v>0</v>
      </c>
      <c r="R452" s="2">
        <v>10</v>
      </c>
      <c r="S452" s="11">
        <v>0</v>
      </c>
      <c r="T452" s="11">
        <v>0</v>
      </c>
      <c r="U452" s="11">
        <v>0</v>
      </c>
      <c r="V452" s="11">
        <v>0</v>
      </c>
      <c r="W452">
        <v>0</v>
      </c>
      <c r="X452" s="3">
        <v>0</v>
      </c>
      <c r="Y452">
        <v>0</v>
      </c>
      <c r="Z452" s="11">
        <v>0</v>
      </c>
      <c r="AA452" s="11">
        <v>0</v>
      </c>
      <c r="AB452" s="11">
        <v>0</v>
      </c>
      <c r="AC452" s="11">
        <v>0</v>
      </c>
    </row>
    <row r="453" spans="1:29" x14ac:dyDescent="0.35">
      <c r="A453" s="34" t="s">
        <v>544</v>
      </c>
      <c r="B453" s="34" t="s">
        <v>546</v>
      </c>
      <c r="C453">
        <f>D453+E453+F453+G453+H453+I453</f>
        <v>70</v>
      </c>
      <c r="D453" s="5">
        <v>13</v>
      </c>
      <c r="E453" s="5">
        <v>36</v>
      </c>
      <c r="F453" s="5">
        <v>7</v>
      </c>
      <c r="G453" s="5">
        <v>13</v>
      </c>
      <c r="H453" s="5">
        <v>1</v>
      </c>
      <c r="I453" s="5">
        <v>0</v>
      </c>
      <c r="J453" s="5">
        <v>40</v>
      </c>
      <c r="K453">
        <f>J453+L453</f>
        <v>56</v>
      </c>
      <c r="L453" s="5">
        <v>16</v>
      </c>
      <c r="M453" s="5">
        <v>22</v>
      </c>
      <c r="N453" s="5">
        <v>500</v>
      </c>
      <c r="O453" s="3">
        <f>N453/J453</f>
        <v>12.5</v>
      </c>
      <c r="P453" s="5">
        <v>2</v>
      </c>
      <c r="Q453" s="5">
        <v>0</v>
      </c>
      <c r="R453" s="5">
        <v>72</v>
      </c>
      <c r="S453" s="40">
        <v>593</v>
      </c>
      <c r="T453" s="40">
        <v>138</v>
      </c>
      <c r="U453" s="40">
        <v>93</v>
      </c>
      <c r="V453" s="40">
        <v>1614</v>
      </c>
      <c r="W453" s="3">
        <f>V453/S453</f>
        <v>2.721753794266442</v>
      </c>
      <c r="X453" s="3">
        <f>V453/U453</f>
        <v>17.35483870967742</v>
      </c>
      <c r="Y453" s="4">
        <f>S453*6/U453</f>
        <v>38.258064516129032</v>
      </c>
      <c r="Z453" s="40">
        <v>6</v>
      </c>
      <c r="AA453" s="40">
        <v>3</v>
      </c>
      <c r="AB453" s="40">
        <v>0</v>
      </c>
      <c r="AC453" s="40">
        <v>17</v>
      </c>
    </row>
    <row r="454" spans="1:29" x14ac:dyDescent="0.35">
      <c r="A454" s="1" t="s">
        <v>544</v>
      </c>
      <c r="B454" s="1" t="s">
        <v>545</v>
      </c>
      <c r="C454">
        <f>D454+E454+F454+G454+H454+I454</f>
        <v>43</v>
      </c>
      <c r="D454" s="2">
        <v>0</v>
      </c>
      <c r="E454" s="2">
        <v>0</v>
      </c>
      <c r="F454" s="2">
        <v>1</v>
      </c>
      <c r="G454" s="2">
        <v>13</v>
      </c>
      <c r="H454" s="2">
        <v>29</v>
      </c>
      <c r="I454" s="2">
        <v>0</v>
      </c>
      <c r="J454" s="2">
        <v>10</v>
      </c>
      <c r="K454">
        <f>J454+L454</f>
        <v>20</v>
      </c>
      <c r="L454" s="2">
        <v>10</v>
      </c>
      <c r="M454" s="2">
        <v>24</v>
      </c>
      <c r="N454" s="2">
        <v>107</v>
      </c>
      <c r="O454" s="3">
        <f>N454/J454</f>
        <v>10.7</v>
      </c>
      <c r="P454" s="2">
        <v>0</v>
      </c>
      <c r="Q454" s="2">
        <v>0</v>
      </c>
      <c r="R454" s="2">
        <v>16</v>
      </c>
      <c r="S454" s="2">
        <v>42</v>
      </c>
      <c r="T454" s="2">
        <v>7</v>
      </c>
      <c r="U454" s="2">
        <v>5</v>
      </c>
      <c r="V454" s="2">
        <v>184</v>
      </c>
      <c r="W454" s="3">
        <f>V454/S454</f>
        <v>4.3809523809523814</v>
      </c>
      <c r="X454" s="3">
        <f>V454/U454</f>
        <v>36.799999999999997</v>
      </c>
      <c r="Y454" s="4">
        <f>S454*6/U454</f>
        <v>50.4</v>
      </c>
      <c r="Z454" s="2">
        <v>2</v>
      </c>
      <c r="AA454" s="2">
        <v>0</v>
      </c>
      <c r="AB454" s="2">
        <v>0</v>
      </c>
      <c r="AC454" s="2">
        <v>15</v>
      </c>
    </row>
    <row r="455" spans="1:29" x14ac:dyDescent="0.35">
      <c r="A455" s="1" t="s">
        <v>547</v>
      </c>
      <c r="B455" s="1" t="s">
        <v>66</v>
      </c>
      <c r="C455">
        <f>D455+E455+F455+G455+H455+I455</f>
        <v>49</v>
      </c>
      <c r="D455" s="2">
        <v>16</v>
      </c>
      <c r="E455" s="2">
        <v>25</v>
      </c>
      <c r="F455" s="2">
        <v>3</v>
      </c>
      <c r="G455" s="2">
        <v>5</v>
      </c>
      <c r="H455" s="2">
        <v>0</v>
      </c>
      <c r="I455" s="2">
        <v>0</v>
      </c>
      <c r="J455" s="2">
        <v>41</v>
      </c>
      <c r="K455">
        <f>J455+L455</f>
        <v>48</v>
      </c>
      <c r="L455" s="2">
        <v>7</v>
      </c>
      <c r="M455" s="2">
        <v>3</v>
      </c>
      <c r="N455" s="2">
        <v>977</v>
      </c>
      <c r="O455" s="3">
        <f>N455/J455</f>
        <v>23.829268292682926</v>
      </c>
      <c r="P455" s="2">
        <v>8</v>
      </c>
      <c r="Q455" s="2">
        <v>0</v>
      </c>
      <c r="R455" s="2">
        <v>75</v>
      </c>
      <c r="S455" s="2">
        <v>2</v>
      </c>
      <c r="T455" s="2">
        <v>0</v>
      </c>
      <c r="U455" s="2">
        <v>0</v>
      </c>
      <c r="V455" s="2">
        <v>7</v>
      </c>
      <c r="W455" s="3">
        <f>V455/S455</f>
        <v>3.5</v>
      </c>
      <c r="X455" s="3" t="e">
        <f>V455/U455</f>
        <v>#DIV/0!</v>
      </c>
      <c r="Y455" s="4" t="e">
        <f>S455*6/U455</f>
        <v>#DIV/0!</v>
      </c>
      <c r="Z455" s="2">
        <v>0</v>
      </c>
      <c r="AA455" s="2">
        <v>0</v>
      </c>
      <c r="AB455" s="2">
        <v>0</v>
      </c>
      <c r="AC455" s="2">
        <v>33</v>
      </c>
    </row>
    <row r="456" spans="1:29" x14ac:dyDescent="0.35">
      <c r="A456" s="1" t="s">
        <v>547</v>
      </c>
      <c r="B456" s="1" t="s">
        <v>18</v>
      </c>
      <c r="C456">
        <f>D456+E456+F456+G456+H456+I456</f>
        <v>54</v>
      </c>
      <c r="D456" s="2">
        <v>14</v>
      </c>
      <c r="E456" s="2">
        <v>24</v>
      </c>
      <c r="F456" s="2">
        <v>5</v>
      </c>
      <c r="G456" s="2">
        <v>7</v>
      </c>
      <c r="H456" s="2">
        <v>4</v>
      </c>
      <c r="I456" s="2">
        <v>0</v>
      </c>
      <c r="J456" s="2">
        <v>52</v>
      </c>
      <c r="K456">
        <f>J456+L456</f>
        <v>56</v>
      </c>
      <c r="L456" s="2">
        <v>4</v>
      </c>
      <c r="M456" s="2">
        <v>3</v>
      </c>
      <c r="N456" s="2">
        <v>1082</v>
      </c>
      <c r="O456" s="3">
        <f>N456/J456</f>
        <v>20.807692307692307</v>
      </c>
      <c r="P456" s="2">
        <v>5</v>
      </c>
      <c r="Q456" s="2">
        <v>1</v>
      </c>
      <c r="R456" s="2">
        <v>134</v>
      </c>
      <c r="S456" s="2">
        <v>1</v>
      </c>
      <c r="T456" s="2">
        <v>0</v>
      </c>
      <c r="U456" s="2">
        <v>1</v>
      </c>
      <c r="V456" s="2">
        <v>1</v>
      </c>
      <c r="W456" s="3">
        <f>V456/S456</f>
        <v>1</v>
      </c>
      <c r="X456" s="3">
        <f>V456/U456</f>
        <v>1</v>
      </c>
      <c r="Y456" s="4">
        <f>S456*6/U456</f>
        <v>6</v>
      </c>
      <c r="Z456" s="2">
        <v>1</v>
      </c>
      <c r="AA456" s="2">
        <v>0</v>
      </c>
      <c r="AB456" s="2">
        <v>0</v>
      </c>
      <c r="AC456" s="2">
        <v>7</v>
      </c>
    </row>
    <row r="457" spans="1:29" x14ac:dyDescent="0.35">
      <c r="A457" s="1" t="s">
        <v>548</v>
      </c>
      <c r="B457" s="1" t="s">
        <v>106</v>
      </c>
      <c r="C457">
        <f>D457+E457+F457+G457+H457+I457</f>
        <v>1</v>
      </c>
      <c r="D457" s="2">
        <v>0</v>
      </c>
      <c r="E457" s="2">
        <v>0</v>
      </c>
      <c r="F457" s="2">
        <v>0</v>
      </c>
      <c r="G457" s="2">
        <v>0</v>
      </c>
      <c r="H457" s="2">
        <v>0</v>
      </c>
      <c r="I457" s="2">
        <v>1</v>
      </c>
      <c r="J457" s="2">
        <v>0</v>
      </c>
      <c r="K457">
        <f>J457+L457</f>
        <v>0</v>
      </c>
      <c r="L457" s="2">
        <v>0</v>
      </c>
      <c r="M457" s="2">
        <v>1</v>
      </c>
      <c r="N457" s="2">
        <v>0</v>
      </c>
      <c r="O457" s="3" t="e">
        <f>N457/J457</f>
        <v>#DIV/0!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0</v>
      </c>
      <c r="V457" s="2">
        <v>0</v>
      </c>
      <c r="W457" s="3" t="e">
        <f>V457/S457</f>
        <v>#DIV/0!</v>
      </c>
      <c r="X457" s="3" t="e">
        <f>V457/U457</f>
        <v>#DIV/0!</v>
      </c>
      <c r="Y457" s="4" t="e">
        <f>S457*6/U457</f>
        <v>#DIV/0!</v>
      </c>
      <c r="Z457" s="2">
        <v>0</v>
      </c>
      <c r="AA457" s="2">
        <v>0</v>
      </c>
      <c r="AB457" s="2">
        <v>0</v>
      </c>
      <c r="AC457" s="2">
        <v>0</v>
      </c>
    </row>
    <row r="458" spans="1:29" x14ac:dyDescent="0.35">
      <c r="A458" s="35" t="s">
        <v>1442</v>
      </c>
      <c r="B458" s="35" t="s">
        <v>1443</v>
      </c>
      <c r="C458">
        <f>D458+E458+F458+G458+H458+I458</f>
        <v>2</v>
      </c>
      <c r="D458" s="5">
        <v>0</v>
      </c>
      <c r="E458" s="5">
        <v>0</v>
      </c>
      <c r="F458" s="5">
        <v>0</v>
      </c>
      <c r="G458" s="5">
        <v>0</v>
      </c>
      <c r="H458" s="5">
        <v>2</v>
      </c>
      <c r="I458" s="5">
        <v>0</v>
      </c>
      <c r="J458" s="5">
        <v>1</v>
      </c>
      <c r="K458">
        <f>J458+L458</f>
        <v>2</v>
      </c>
      <c r="L458" s="5">
        <v>1</v>
      </c>
      <c r="M458" s="5">
        <v>0</v>
      </c>
      <c r="N458" s="5">
        <v>8</v>
      </c>
      <c r="O458" s="3">
        <f>N458/J458</f>
        <v>8</v>
      </c>
      <c r="P458" s="5">
        <v>0</v>
      </c>
      <c r="Q458" s="5">
        <v>0</v>
      </c>
      <c r="R458" s="35" t="s">
        <v>1422</v>
      </c>
      <c r="S458" s="35">
        <v>6</v>
      </c>
      <c r="T458" s="35">
        <v>0</v>
      </c>
      <c r="U458" s="35">
        <v>3</v>
      </c>
      <c r="V458" s="35">
        <v>56</v>
      </c>
      <c r="W458">
        <v>9.33</v>
      </c>
      <c r="X458">
        <v>18.670000000000002</v>
      </c>
      <c r="Y458">
        <v>12</v>
      </c>
      <c r="Z458" s="35" t="s">
        <v>1173</v>
      </c>
      <c r="AA458" s="35">
        <v>0</v>
      </c>
      <c r="AB458" s="35">
        <v>0</v>
      </c>
      <c r="AC458" s="40">
        <v>0</v>
      </c>
    </row>
    <row r="459" spans="1:29" x14ac:dyDescent="0.35">
      <c r="A459" s="1" t="s">
        <v>549</v>
      </c>
      <c r="B459" s="1" t="s">
        <v>24</v>
      </c>
      <c r="C459">
        <f>D459+E459+F459+G459+H459+I459</f>
        <v>8</v>
      </c>
      <c r="D459" s="2">
        <v>8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2</v>
      </c>
      <c r="K459">
        <f>J459+L459</f>
        <v>5</v>
      </c>
      <c r="L459" s="2">
        <v>3</v>
      </c>
      <c r="M459" s="2">
        <v>3</v>
      </c>
      <c r="N459" s="2">
        <v>13</v>
      </c>
      <c r="O459" s="3">
        <f>N459/J459</f>
        <v>6.5</v>
      </c>
      <c r="P459" s="2">
        <v>0</v>
      </c>
      <c r="Q459" s="2">
        <v>0</v>
      </c>
      <c r="R459" s="2">
        <v>7</v>
      </c>
      <c r="S459" s="2">
        <v>98</v>
      </c>
      <c r="T459" s="2">
        <v>19</v>
      </c>
      <c r="U459" s="2">
        <v>7</v>
      </c>
      <c r="V459" s="2">
        <v>306</v>
      </c>
      <c r="W459" s="3">
        <f>V459/S459</f>
        <v>3.1224489795918369</v>
      </c>
      <c r="X459" s="3">
        <f>V459/U459</f>
        <v>43.714285714285715</v>
      </c>
      <c r="Y459" s="4">
        <f>S459*6/U459</f>
        <v>84</v>
      </c>
      <c r="Z459" s="2">
        <v>4</v>
      </c>
      <c r="AA459" s="2">
        <v>0</v>
      </c>
      <c r="AB459" s="2">
        <v>0</v>
      </c>
      <c r="AC459" s="2">
        <v>0</v>
      </c>
    </row>
    <row r="460" spans="1:29" x14ac:dyDescent="0.35">
      <c r="A460" s="1" t="s">
        <v>550</v>
      </c>
      <c r="B460" s="1" t="s">
        <v>551</v>
      </c>
      <c r="C460">
        <f>D460+E460+F460+G460+H460+I460</f>
        <v>10</v>
      </c>
      <c r="D460" s="2">
        <v>0</v>
      </c>
      <c r="E460" s="2">
        <v>0</v>
      </c>
      <c r="F460" s="2">
        <v>10</v>
      </c>
      <c r="G460" s="2">
        <v>0</v>
      </c>
      <c r="H460" s="2">
        <v>0</v>
      </c>
      <c r="I460" s="2">
        <v>0</v>
      </c>
      <c r="J460" s="2">
        <v>11</v>
      </c>
      <c r="K460">
        <f>J460+L460</f>
        <v>12</v>
      </c>
      <c r="L460" s="2">
        <v>1</v>
      </c>
      <c r="M460" s="2">
        <v>0</v>
      </c>
      <c r="N460" s="2">
        <v>334</v>
      </c>
      <c r="O460" s="3">
        <f>N460/J460</f>
        <v>30.363636363636363</v>
      </c>
      <c r="P460" s="2">
        <v>1</v>
      </c>
      <c r="Q460" s="2">
        <v>2</v>
      </c>
      <c r="R460" s="2">
        <v>132</v>
      </c>
      <c r="S460" s="2">
        <v>0</v>
      </c>
      <c r="T460" s="2">
        <v>0</v>
      </c>
      <c r="U460" s="2">
        <v>0</v>
      </c>
      <c r="V460" s="2">
        <v>0</v>
      </c>
      <c r="W460" s="3" t="e">
        <f>V460/S460</f>
        <v>#DIV/0!</v>
      </c>
      <c r="X460" s="3" t="e">
        <f>V460/U460</f>
        <v>#DIV/0!</v>
      </c>
      <c r="Y460" s="4" t="e">
        <f>S460*6/U460</f>
        <v>#DIV/0!</v>
      </c>
      <c r="Z460" s="2">
        <v>0</v>
      </c>
      <c r="AA460" s="2">
        <v>0</v>
      </c>
      <c r="AB460" s="2">
        <v>0</v>
      </c>
      <c r="AC460" s="2">
        <v>7</v>
      </c>
    </row>
    <row r="461" spans="1:29" x14ac:dyDescent="0.35">
      <c r="A461" s="35" t="s">
        <v>1370</v>
      </c>
      <c r="B461" s="35" t="s">
        <v>1378</v>
      </c>
      <c r="C461">
        <f>D461+E461+F461+G461+H461+I461</f>
        <v>13</v>
      </c>
      <c r="D461" s="5">
        <v>0</v>
      </c>
      <c r="E461" s="5">
        <v>0</v>
      </c>
      <c r="F461" s="5">
        <v>2</v>
      </c>
      <c r="G461" s="5">
        <v>11</v>
      </c>
      <c r="H461" s="5">
        <v>0</v>
      </c>
      <c r="I461" s="5">
        <v>0</v>
      </c>
      <c r="J461" s="5">
        <v>9</v>
      </c>
      <c r="K461">
        <f>J461+L461</f>
        <v>11</v>
      </c>
      <c r="L461" s="5">
        <v>2</v>
      </c>
      <c r="M461" s="5">
        <v>2</v>
      </c>
      <c r="N461" s="5">
        <f>8+78</f>
        <v>86</v>
      </c>
      <c r="O461" s="3">
        <f>N461/J461</f>
        <v>9.5555555555555554</v>
      </c>
      <c r="P461" s="5">
        <v>0</v>
      </c>
      <c r="Q461" s="5">
        <v>0</v>
      </c>
      <c r="R461" s="5">
        <v>26</v>
      </c>
      <c r="S461" s="35">
        <v>63.3</v>
      </c>
      <c r="T461" s="35">
        <v>11</v>
      </c>
      <c r="U461" s="35">
        <v>18</v>
      </c>
      <c r="V461" s="35">
        <v>249</v>
      </c>
      <c r="W461" s="3">
        <f>V461/S461</f>
        <v>3.933649289099526</v>
      </c>
      <c r="X461" s="3">
        <f>V461/U461</f>
        <v>13.833333333333334</v>
      </c>
      <c r="Y461" s="3">
        <f>S461*6/U461</f>
        <v>21.099999999999998</v>
      </c>
      <c r="Z461" s="35" t="s">
        <v>1385</v>
      </c>
      <c r="AA461" s="35">
        <v>0</v>
      </c>
      <c r="AB461" s="35">
        <v>0</v>
      </c>
      <c r="AC461" s="5">
        <v>4</v>
      </c>
    </row>
    <row r="462" spans="1:29" x14ac:dyDescent="0.35">
      <c r="A462" s="35" t="s">
        <v>1370</v>
      </c>
      <c r="B462" s="35" t="s">
        <v>1379</v>
      </c>
      <c r="C462">
        <f>D462+E462+F462+G462+H462+I462</f>
        <v>9</v>
      </c>
      <c r="D462" s="5">
        <v>0</v>
      </c>
      <c r="E462" s="8">
        <v>0</v>
      </c>
      <c r="F462" s="5">
        <v>2</v>
      </c>
      <c r="G462" s="8">
        <v>7</v>
      </c>
      <c r="H462" s="5">
        <v>0</v>
      </c>
      <c r="I462" s="8">
        <v>0</v>
      </c>
      <c r="J462" s="5">
        <v>5</v>
      </c>
      <c r="K462">
        <f>J462+L462</f>
        <v>5</v>
      </c>
      <c r="L462" s="9">
        <v>0</v>
      </c>
      <c r="M462" s="5">
        <v>4</v>
      </c>
      <c r="N462" s="5">
        <v>3</v>
      </c>
      <c r="O462" s="3">
        <f>N462/J462</f>
        <v>0.6</v>
      </c>
      <c r="P462" s="5">
        <v>0</v>
      </c>
      <c r="Q462" s="5">
        <v>0</v>
      </c>
      <c r="R462" s="8">
        <v>1</v>
      </c>
      <c r="S462" s="35">
        <f>6+9</f>
        <v>15</v>
      </c>
      <c r="T462" s="35">
        <v>1</v>
      </c>
      <c r="U462" s="35">
        <v>1</v>
      </c>
      <c r="V462" s="35">
        <f>25+59</f>
        <v>84</v>
      </c>
      <c r="W462" s="3">
        <f>V462/S462</f>
        <v>5.6</v>
      </c>
      <c r="X462" s="3">
        <f>V462/U462</f>
        <v>84</v>
      </c>
      <c r="Y462" s="3">
        <f>S462*6/U462</f>
        <v>90</v>
      </c>
      <c r="Z462" s="35" t="s">
        <v>1164</v>
      </c>
      <c r="AA462" s="35">
        <v>0</v>
      </c>
      <c r="AB462" s="35">
        <v>0</v>
      </c>
      <c r="AC462" s="5">
        <v>0</v>
      </c>
    </row>
    <row r="463" spans="1:29" x14ac:dyDescent="0.35">
      <c r="A463" s="1" t="s">
        <v>552</v>
      </c>
      <c r="B463" s="1" t="s">
        <v>553</v>
      </c>
      <c r="C463">
        <f>D463+E463+F463+G463+H463+I463</f>
        <v>3</v>
      </c>
      <c r="D463" s="2">
        <v>0</v>
      </c>
      <c r="E463" s="2">
        <v>2</v>
      </c>
      <c r="F463" s="2">
        <v>0</v>
      </c>
      <c r="G463" s="2">
        <v>1</v>
      </c>
      <c r="H463" s="2">
        <v>0</v>
      </c>
      <c r="I463" s="2">
        <v>0</v>
      </c>
      <c r="J463" s="2">
        <v>2</v>
      </c>
      <c r="K463">
        <f>J463+L463</f>
        <v>2</v>
      </c>
      <c r="L463" s="2">
        <v>0</v>
      </c>
      <c r="M463" s="2">
        <v>1</v>
      </c>
      <c r="N463" s="2">
        <v>40</v>
      </c>
      <c r="O463" s="3">
        <f>N463/J463</f>
        <v>20</v>
      </c>
      <c r="P463" s="2">
        <v>0</v>
      </c>
      <c r="Q463" s="2">
        <v>0</v>
      </c>
      <c r="R463" s="2">
        <v>40</v>
      </c>
      <c r="S463" s="2">
        <v>23</v>
      </c>
      <c r="T463" s="2">
        <v>3</v>
      </c>
      <c r="U463" s="2">
        <v>6</v>
      </c>
      <c r="V463" s="2">
        <v>68</v>
      </c>
      <c r="W463" s="3">
        <f>V463/S463</f>
        <v>2.9565217391304346</v>
      </c>
      <c r="X463" s="3">
        <f>V463/U463</f>
        <v>11.333333333333334</v>
      </c>
      <c r="Y463" s="4">
        <f>S463*6/U463</f>
        <v>23</v>
      </c>
      <c r="Z463" s="2">
        <v>3</v>
      </c>
      <c r="AA463" s="2">
        <v>0</v>
      </c>
      <c r="AB463" s="2">
        <v>0</v>
      </c>
      <c r="AC463" s="2">
        <v>0</v>
      </c>
    </row>
    <row r="464" spans="1:29" x14ac:dyDescent="0.35">
      <c r="A464" s="1" t="s">
        <v>554</v>
      </c>
      <c r="B464" s="1" t="s">
        <v>555</v>
      </c>
      <c r="C464">
        <f>D464+E464+F464+G464+H464+I464</f>
        <v>2</v>
      </c>
      <c r="D464" s="2">
        <v>0</v>
      </c>
      <c r="E464" s="2">
        <v>0</v>
      </c>
      <c r="F464" s="2">
        <v>1</v>
      </c>
      <c r="G464" s="2">
        <v>0</v>
      </c>
      <c r="H464" s="2">
        <v>0</v>
      </c>
      <c r="I464" s="2">
        <v>1</v>
      </c>
      <c r="J464" s="2">
        <v>2</v>
      </c>
      <c r="K464">
        <f>J464+L464</f>
        <v>2</v>
      </c>
      <c r="L464" s="2">
        <v>0</v>
      </c>
      <c r="M464" s="2">
        <v>0</v>
      </c>
      <c r="N464" s="2">
        <v>36</v>
      </c>
      <c r="O464" s="3">
        <f>N464/J464</f>
        <v>18</v>
      </c>
      <c r="P464" s="2">
        <v>0</v>
      </c>
      <c r="Q464" s="2">
        <v>0</v>
      </c>
      <c r="R464" s="2">
        <v>18</v>
      </c>
      <c r="S464" s="2">
        <v>4</v>
      </c>
      <c r="T464" s="2">
        <v>1</v>
      </c>
      <c r="U464" s="2">
        <v>1</v>
      </c>
      <c r="V464" s="2">
        <v>9</v>
      </c>
      <c r="W464" s="3">
        <f>V464/S464</f>
        <v>2.25</v>
      </c>
      <c r="X464" s="3">
        <f>V464/U464</f>
        <v>9</v>
      </c>
      <c r="Y464" s="4">
        <f>S464*6/U464</f>
        <v>24</v>
      </c>
      <c r="Z464" s="2">
        <v>1</v>
      </c>
      <c r="AA464" s="2">
        <v>0</v>
      </c>
      <c r="AB464" s="2">
        <v>0</v>
      </c>
      <c r="AC464" s="2">
        <v>2</v>
      </c>
    </row>
    <row r="465" spans="1:29" x14ac:dyDescent="0.35">
      <c r="A465" s="1" t="s">
        <v>554</v>
      </c>
      <c r="B465" s="1" t="s">
        <v>556</v>
      </c>
      <c r="C465">
        <f>D465+E465+F465+G465+H465+I465</f>
        <v>4</v>
      </c>
      <c r="D465" s="2">
        <v>4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J465" s="2">
        <v>3</v>
      </c>
      <c r="K465">
        <f>J465+L465</f>
        <v>3</v>
      </c>
      <c r="L465" s="2">
        <v>0</v>
      </c>
      <c r="M465" s="2">
        <v>1</v>
      </c>
      <c r="N465" s="2">
        <v>3</v>
      </c>
      <c r="O465" s="3">
        <f>N465/J465</f>
        <v>1</v>
      </c>
      <c r="P465" s="2">
        <v>0</v>
      </c>
      <c r="Q465" s="2">
        <v>0</v>
      </c>
      <c r="R465" s="2">
        <v>2</v>
      </c>
      <c r="S465" s="2">
        <v>27</v>
      </c>
      <c r="T465" s="2">
        <v>1</v>
      </c>
      <c r="U465" s="2">
        <v>3</v>
      </c>
      <c r="V465" s="2">
        <v>83</v>
      </c>
      <c r="W465" s="3">
        <f>V465/S465</f>
        <v>3.074074074074074</v>
      </c>
      <c r="X465" s="3">
        <f>V465/U465</f>
        <v>27.666666666666668</v>
      </c>
      <c r="Y465" s="4">
        <f>S465*6/U465</f>
        <v>54</v>
      </c>
      <c r="Z465" s="2">
        <v>1</v>
      </c>
      <c r="AA465" s="2">
        <v>0</v>
      </c>
      <c r="AB465" s="2">
        <v>0</v>
      </c>
      <c r="AC465" s="2">
        <v>1</v>
      </c>
    </row>
    <row r="466" spans="1:29" x14ac:dyDescent="0.35">
      <c r="A466" s="1" t="s">
        <v>557</v>
      </c>
      <c r="B466" s="1" t="s">
        <v>369</v>
      </c>
      <c r="C466">
        <f>D466+E466+F466+G466+H466+I466</f>
        <v>1</v>
      </c>
      <c r="D466" s="2">
        <v>0</v>
      </c>
      <c r="E466" s="2">
        <v>0</v>
      </c>
      <c r="F466" s="2">
        <v>0</v>
      </c>
      <c r="G466" s="2">
        <v>1</v>
      </c>
      <c r="H466" s="2">
        <v>0</v>
      </c>
      <c r="I466" s="2">
        <v>0</v>
      </c>
      <c r="J466" s="2">
        <v>1</v>
      </c>
      <c r="K466">
        <f>J466+L466</f>
        <v>1</v>
      </c>
      <c r="L466" s="2">
        <v>0</v>
      </c>
      <c r="M466" s="2">
        <v>0</v>
      </c>
      <c r="N466" s="2">
        <v>1</v>
      </c>
      <c r="O466" s="3">
        <f>N466/J466</f>
        <v>1</v>
      </c>
      <c r="P466" s="2">
        <v>0</v>
      </c>
      <c r="Q466" s="2">
        <v>0</v>
      </c>
      <c r="R466" s="2">
        <v>1</v>
      </c>
      <c r="S466" s="2">
        <v>5</v>
      </c>
      <c r="T466" s="2">
        <v>0</v>
      </c>
      <c r="U466" s="2">
        <v>2</v>
      </c>
      <c r="V466" s="2">
        <v>16</v>
      </c>
      <c r="W466" s="3">
        <f>V466/S466</f>
        <v>3.2</v>
      </c>
      <c r="X466" s="3">
        <f>V466/U466</f>
        <v>8</v>
      </c>
      <c r="Y466" s="4">
        <f>S466*6/U466</f>
        <v>15</v>
      </c>
      <c r="Z466" s="2">
        <v>2</v>
      </c>
      <c r="AA466" s="2">
        <v>0</v>
      </c>
      <c r="AB466" s="2">
        <v>0</v>
      </c>
      <c r="AC466" s="2">
        <v>0</v>
      </c>
    </row>
    <row r="467" spans="1:29" x14ac:dyDescent="0.35">
      <c r="A467" s="1" t="s">
        <v>558</v>
      </c>
      <c r="B467" s="1" t="s">
        <v>176</v>
      </c>
      <c r="C467">
        <f>D467+E467+F467+G467+H467+I467</f>
        <v>37</v>
      </c>
      <c r="D467" s="2">
        <v>0</v>
      </c>
      <c r="E467" s="2">
        <v>17</v>
      </c>
      <c r="F467" s="2">
        <v>10</v>
      </c>
      <c r="G467" s="2">
        <v>8</v>
      </c>
      <c r="H467" s="2">
        <v>2</v>
      </c>
      <c r="I467" s="2">
        <v>0</v>
      </c>
      <c r="J467" s="2">
        <v>30</v>
      </c>
      <c r="K467">
        <f>J467+L467</f>
        <v>40</v>
      </c>
      <c r="L467" s="2">
        <v>10</v>
      </c>
      <c r="M467" s="2">
        <v>12</v>
      </c>
      <c r="N467" s="2">
        <v>307</v>
      </c>
      <c r="O467" s="3">
        <f>N467/J467</f>
        <v>10.233333333333333</v>
      </c>
      <c r="P467" s="2">
        <v>0</v>
      </c>
      <c r="Q467" s="2">
        <v>0</v>
      </c>
      <c r="R467" s="2">
        <v>35</v>
      </c>
      <c r="S467" s="2">
        <v>435</v>
      </c>
      <c r="T467" s="2">
        <v>89</v>
      </c>
      <c r="U467" s="2">
        <v>71</v>
      </c>
      <c r="V467" s="2">
        <v>1252</v>
      </c>
      <c r="W467" s="3">
        <f>V467/S467</f>
        <v>2.87816091954023</v>
      </c>
      <c r="X467" s="3">
        <f>V467/U467</f>
        <v>17.633802816901408</v>
      </c>
      <c r="Y467" s="4">
        <f>S467*6/U467</f>
        <v>36.760563380281688</v>
      </c>
      <c r="Z467" s="2">
        <v>5</v>
      </c>
      <c r="AA467" s="2">
        <v>2</v>
      </c>
      <c r="AB467" s="2">
        <v>0</v>
      </c>
      <c r="AC467" s="2">
        <v>5</v>
      </c>
    </row>
    <row r="468" spans="1:29" x14ac:dyDescent="0.35">
      <c r="A468" s="18" t="s">
        <v>1425</v>
      </c>
      <c r="B468" s="18" t="s">
        <v>1426</v>
      </c>
      <c r="C468" s="18">
        <f>D468+E468+F468+G468+H468+I468</f>
        <v>12</v>
      </c>
      <c r="D468" s="21">
        <v>0</v>
      </c>
      <c r="E468" s="21">
        <v>0</v>
      </c>
      <c r="F468" s="21">
        <v>0</v>
      </c>
      <c r="G468" s="21">
        <v>2</v>
      </c>
      <c r="H468" s="21">
        <v>10</v>
      </c>
      <c r="I468" s="21">
        <v>0</v>
      </c>
      <c r="J468" s="21">
        <v>11</v>
      </c>
      <c r="K468" s="18">
        <f>J468+L468</f>
        <v>11</v>
      </c>
      <c r="L468" s="21">
        <v>0</v>
      </c>
      <c r="M468" s="21">
        <v>1</v>
      </c>
      <c r="N468" s="21">
        <f>12+134</f>
        <v>146</v>
      </c>
      <c r="O468" s="19">
        <f>N468/J468</f>
        <v>13.272727272727273</v>
      </c>
      <c r="P468" s="21">
        <v>0</v>
      </c>
      <c r="Q468" s="21">
        <v>0</v>
      </c>
      <c r="R468" s="21">
        <v>37</v>
      </c>
      <c r="S468" s="18">
        <v>3.1</v>
      </c>
      <c r="T468" s="18">
        <v>0</v>
      </c>
      <c r="U468" s="18">
        <v>0</v>
      </c>
      <c r="V468" s="18">
        <v>30</v>
      </c>
      <c r="W468" s="18">
        <v>9.68</v>
      </c>
      <c r="X468" s="18">
        <v>0</v>
      </c>
      <c r="Y468" s="18">
        <v>0</v>
      </c>
      <c r="Z468" s="18" t="s">
        <v>1436</v>
      </c>
      <c r="AA468" s="18">
        <v>0</v>
      </c>
      <c r="AB468" s="18">
        <v>1</v>
      </c>
      <c r="AC468" s="18">
        <v>2</v>
      </c>
    </row>
    <row r="469" spans="1:29" x14ac:dyDescent="0.35">
      <c r="A469" s="1" t="s">
        <v>559</v>
      </c>
      <c r="B469" s="1" t="s">
        <v>560</v>
      </c>
      <c r="C469">
        <f>D469+E469+F469+G469+H469+I469</f>
        <v>2</v>
      </c>
      <c r="D469" s="2">
        <v>0</v>
      </c>
      <c r="E469" s="2">
        <v>1</v>
      </c>
      <c r="F469" s="2">
        <v>1</v>
      </c>
      <c r="G469" s="2">
        <v>0</v>
      </c>
      <c r="H469" s="2">
        <v>0</v>
      </c>
      <c r="I469" s="2">
        <v>0</v>
      </c>
      <c r="J469" s="2">
        <v>2</v>
      </c>
      <c r="K469">
        <f>J469+L469</f>
        <v>2</v>
      </c>
      <c r="L469" s="2">
        <v>0</v>
      </c>
      <c r="M469" s="2">
        <v>0</v>
      </c>
      <c r="N469" s="2">
        <v>33</v>
      </c>
      <c r="O469" s="3">
        <f>N469/J469</f>
        <v>16.5</v>
      </c>
      <c r="P469" s="2">
        <v>0</v>
      </c>
      <c r="Q469" s="2">
        <v>0</v>
      </c>
      <c r="R469" s="2">
        <v>18</v>
      </c>
      <c r="S469" s="2">
        <v>8</v>
      </c>
      <c r="T469" s="2">
        <v>0</v>
      </c>
      <c r="U469" s="2">
        <v>1</v>
      </c>
      <c r="V469" s="2">
        <v>32</v>
      </c>
      <c r="W469" s="3">
        <f>V469/S469</f>
        <v>4</v>
      </c>
      <c r="X469" s="3">
        <f>V469/U469</f>
        <v>32</v>
      </c>
      <c r="Y469" s="4">
        <f>S469*6/U469</f>
        <v>48</v>
      </c>
      <c r="Z469" s="2">
        <v>1</v>
      </c>
      <c r="AA469" s="2">
        <v>0</v>
      </c>
      <c r="AB469" s="2">
        <v>0</v>
      </c>
      <c r="AC469" s="2">
        <v>2</v>
      </c>
    </row>
    <row r="470" spans="1:29" x14ac:dyDescent="0.35">
      <c r="A470" s="1" t="s">
        <v>561</v>
      </c>
      <c r="B470" s="1" t="s">
        <v>110</v>
      </c>
      <c r="C470">
        <f>D470+E470+F470+G470+H470+I470</f>
        <v>1</v>
      </c>
      <c r="D470" s="2">
        <v>0</v>
      </c>
      <c r="E470" s="2">
        <v>0</v>
      </c>
      <c r="F470" s="2">
        <v>0</v>
      </c>
      <c r="G470" s="2">
        <v>1</v>
      </c>
      <c r="H470" s="2">
        <v>0</v>
      </c>
      <c r="I470" s="2">
        <v>0</v>
      </c>
      <c r="J470" s="2">
        <v>0</v>
      </c>
      <c r="K470">
        <f>J470+L470</f>
        <v>1</v>
      </c>
      <c r="L470" s="2">
        <v>1</v>
      </c>
      <c r="M470" s="2">
        <v>0</v>
      </c>
      <c r="N470" s="2">
        <v>71</v>
      </c>
      <c r="O470" s="3" t="e">
        <f>N470/J470</f>
        <v>#DIV/0!</v>
      </c>
      <c r="P470" s="2">
        <v>1</v>
      </c>
      <c r="Q470" s="2">
        <v>0</v>
      </c>
      <c r="R470" s="2">
        <v>71</v>
      </c>
      <c r="S470" s="2">
        <v>5</v>
      </c>
      <c r="T470" s="2">
        <v>0</v>
      </c>
      <c r="U470" s="2">
        <v>2</v>
      </c>
      <c r="V470" s="2">
        <v>12</v>
      </c>
      <c r="W470" s="3">
        <f>V470/S470</f>
        <v>2.4</v>
      </c>
      <c r="X470" s="3">
        <f>V470/U470</f>
        <v>6</v>
      </c>
      <c r="Y470" s="4">
        <f>S470*6/U470</f>
        <v>15</v>
      </c>
      <c r="Z470" s="2">
        <v>2</v>
      </c>
      <c r="AA470" s="2">
        <v>0</v>
      </c>
      <c r="AB470" s="2">
        <v>0</v>
      </c>
      <c r="AC470" s="2">
        <v>0</v>
      </c>
    </row>
    <row r="471" spans="1:29" x14ac:dyDescent="0.35">
      <c r="A471" s="1" t="s">
        <v>562</v>
      </c>
      <c r="B471" s="1" t="s">
        <v>201</v>
      </c>
      <c r="C471">
        <f>D471+E471+F471+G471+H471+I471</f>
        <v>1</v>
      </c>
      <c r="D471" s="2">
        <v>0</v>
      </c>
      <c r="E471" s="2">
        <v>0</v>
      </c>
      <c r="F471" s="2">
        <v>0</v>
      </c>
      <c r="G471" s="2">
        <v>1</v>
      </c>
      <c r="H471" s="2">
        <v>0</v>
      </c>
      <c r="I471" s="2">
        <v>0</v>
      </c>
      <c r="J471" s="2">
        <v>0</v>
      </c>
      <c r="K471">
        <f>J471+L471</f>
        <v>1</v>
      </c>
      <c r="L471" s="2">
        <v>1</v>
      </c>
      <c r="M471" s="2">
        <v>0</v>
      </c>
      <c r="N471" s="2">
        <v>12</v>
      </c>
      <c r="O471" s="3" t="e">
        <f>N471/J471</f>
        <v>#DIV/0!</v>
      </c>
      <c r="P471" s="2">
        <v>0</v>
      </c>
      <c r="Q471" s="2">
        <v>0</v>
      </c>
      <c r="R471" s="2">
        <v>12</v>
      </c>
      <c r="S471" s="2">
        <v>6</v>
      </c>
      <c r="T471" s="2">
        <v>2</v>
      </c>
      <c r="U471" s="2">
        <v>0</v>
      </c>
      <c r="V471" s="2">
        <v>26</v>
      </c>
      <c r="W471" s="3">
        <f>V471/S471</f>
        <v>4.333333333333333</v>
      </c>
      <c r="X471" s="3" t="e">
        <f>V471/U471</f>
        <v>#DIV/0!</v>
      </c>
      <c r="Y471" s="4" t="e">
        <f>S471*6/U471</f>
        <v>#DIV/0!</v>
      </c>
      <c r="Z471" s="2">
        <v>0</v>
      </c>
      <c r="AA471" s="2">
        <v>0</v>
      </c>
      <c r="AB471" s="2">
        <v>0</v>
      </c>
      <c r="AC471" s="2">
        <v>1</v>
      </c>
    </row>
    <row r="472" spans="1:29" x14ac:dyDescent="0.35">
      <c r="A472" s="1" t="s">
        <v>563</v>
      </c>
      <c r="B472" s="1" t="s">
        <v>565</v>
      </c>
      <c r="C472">
        <f>D472+E472+F472+G472+H472+I472</f>
        <v>34</v>
      </c>
      <c r="D472" s="2">
        <v>0</v>
      </c>
      <c r="E472" s="2">
        <v>2</v>
      </c>
      <c r="F472" s="2">
        <v>12</v>
      </c>
      <c r="G472" s="2">
        <v>8</v>
      </c>
      <c r="H472" s="2">
        <v>1</v>
      </c>
      <c r="I472" s="2">
        <v>11</v>
      </c>
      <c r="J472" s="2">
        <v>44</v>
      </c>
      <c r="K472">
        <f>J472+L472</f>
        <v>49</v>
      </c>
      <c r="L472" s="2">
        <v>5</v>
      </c>
      <c r="M472" s="2">
        <v>0</v>
      </c>
      <c r="N472" s="2">
        <v>948</v>
      </c>
      <c r="O472" s="3">
        <f>N472/J472</f>
        <v>21.545454545454547</v>
      </c>
      <c r="P472" s="2">
        <v>2</v>
      </c>
      <c r="Q472" s="2">
        <v>1</v>
      </c>
      <c r="R472" s="2">
        <v>108</v>
      </c>
      <c r="S472" s="2">
        <v>20</v>
      </c>
      <c r="T472" s="2">
        <v>2</v>
      </c>
      <c r="U472" s="2">
        <v>2</v>
      </c>
      <c r="V472" s="2">
        <v>111</v>
      </c>
      <c r="W472" s="3">
        <f>V472/S472</f>
        <v>5.55</v>
      </c>
      <c r="X472" s="3">
        <f>V472/U472</f>
        <v>55.5</v>
      </c>
      <c r="Y472" s="4">
        <f>S472*6/U472</f>
        <v>60</v>
      </c>
      <c r="Z472" s="2">
        <v>1</v>
      </c>
      <c r="AA472" s="2">
        <v>0</v>
      </c>
      <c r="AB472" s="2">
        <v>0</v>
      </c>
      <c r="AC472" s="2">
        <v>11</v>
      </c>
    </row>
    <row r="473" spans="1:29" x14ac:dyDescent="0.35">
      <c r="A473" s="1" t="s">
        <v>563</v>
      </c>
      <c r="B473" s="1" t="s">
        <v>564</v>
      </c>
      <c r="C473">
        <f>D473+E473+F473+G473+H473+I473</f>
        <v>31</v>
      </c>
      <c r="D473" s="2">
        <v>0</v>
      </c>
      <c r="E473" s="2">
        <v>2</v>
      </c>
      <c r="F473" s="2">
        <v>2</v>
      </c>
      <c r="G473" s="2">
        <v>0</v>
      </c>
      <c r="H473" s="2">
        <v>14</v>
      </c>
      <c r="I473" s="2">
        <v>13</v>
      </c>
      <c r="J473" s="2">
        <v>23</v>
      </c>
      <c r="K473">
        <f>J473+L473</f>
        <v>31</v>
      </c>
      <c r="L473" s="2">
        <v>8</v>
      </c>
      <c r="M473" s="2">
        <v>5</v>
      </c>
      <c r="N473" s="2">
        <v>382</v>
      </c>
      <c r="O473" s="3">
        <f>N473/J473</f>
        <v>16.608695652173914</v>
      </c>
      <c r="P473" s="2">
        <v>1</v>
      </c>
      <c r="Q473" s="2">
        <v>0</v>
      </c>
      <c r="R473" s="2">
        <v>63</v>
      </c>
      <c r="S473" s="2">
        <v>250</v>
      </c>
      <c r="T473" s="2">
        <v>44</v>
      </c>
      <c r="U473" s="2">
        <v>29</v>
      </c>
      <c r="V473" s="2">
        <v>692</v>
      </c>
      <c r="W473" s="3">
        <f>V473/S473</f>
        <v>2.7679999999999998</v>
      </c>
      <c r="X473" s="3">
        <f>V473/U473</f>
        <v>23.862068965517242</v>
      </c>
      <c r="Y473" s="4">
        <f>S473*6/U473</f>
        <v>51.724137931034484</v>
      </c>
      <c r="Z473" s="2">
        <v>4</v>
      </c>
      <c r="AA473" s="2">
        <v>0</v>
      </c>
      <c r="AB473" s="2">
        <v>0</v>
      </c>
      <c r="AC473" s="2">
        <v>7</v>
      </c>
    </row>
    <row r="474" spans="1:29" x14ac:dyDescent="0.35">
      <c r="A474" s="1" t="s">
        <v>563</v>
      </c>
      <c r="B474" s="1" t="s">
        <v>377</v>
      </c>
      <c r="C474">
        <f>D474+E474+F474+G474+H474+I474</f>
        <v>1</v>
      </c>
      <c r="D474" s="2">
        <v>0</v>
      </c>
      <c r="E474" s="2">
        <v>0</v>
      </c>
      <c r="F474" s="2">
        <v>0</v>
      </c>
      <c r="G474" s="2">
        <v>0</v>
      </c>
      <c r="H474" s="2">
        <v>0</v>
      </c>
      <c r="I474" s="2">
        <v>1</v>
      </c>
      <c r="J474" s="2">
        <v>0</v>
      </c>
      <c r="K474">
        <f>J474+L474</f>
        <v>0</v>
      </c>
      <c r="L474" s="2">
        <v>0</v>
      </c>
      <c r="M474" s="2">
        <v>1</v>
      </c>
      <c r="N474" s="2">
        <v>0</v>
      </c>
      <c r="O474" s="3" t="e">
        <f>N474/J474</f>
        <v>#DIV/0!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0</v>
      </c>
      <c r="W474" s="3" t="e">
        <f>V474/S474</f>
        <v>#DIV/0!</v>
      </c>
      <c r="X474" s="3" t="e">
        <f>V474/U474</f>
        <v>#DIV/0!</v>
      </c>
      <c r="Y474" s="4" t="e">
        <f>S474*6/U474</f>
        <v>#DIV/0!</v>
      </c>
      <c r="Z474" s="2">
        <v>0</v>
      </c>
      <c r="AA474" s="2">
        <v>0</v>
      </c>
      <c r="AB474" s="2">
        <v>0</v>
      </c>
      <c r="AC474" s="2">
        <v>0</v>
      </c>
    </row>
    <row r="475" spans="1:29" x14ac:dyDescent="0.35">
      <c r="A475" s="1" t="s">
        <v>566</v>
      </c>
      <c r="B475" s="1" t="s">
        <v>567</v>
      </c>
      <c r="C475">
        <f>D475+E475+F475+G475+H475+I475</f>
        <v>21</v>
      </c>
      <c r="D475" s="2">
        <v>0</v>
      </c>
      <c r="E475" s="2">
        <v>2</v>
      </c>
      <c r="F475" s="2">
        <v>11</v>
      </c>
      <c r="G475" s="2">
        <v>8</v>
      </c>
      <c r="H475" s="2">
        <v>0</v>
      </c>
      <c r="I475" s="2">
        <v>0</v>
      </c>
      <c r="J475" s="2">
        <v>29</v>
      </c>
      <c r="K475">
        <f>J475+L475</f>
        <v>33</v>
      </c>
      <c r="L475" s="2">
        <v>4</v>
      </c>
      <c r="M475" s="2">
        <v>6</v>
      </c>
      <c r="N475" s="2">
        <v>248</v>
      </c>
      <c r="O475" s="3">
        <f>N475/J475</f>
        <v>8.5517241379310338</v>
      </c>
      <c r="P475" s="2">
        <v>0</v>
      </c>
      <c r="Q475" s="2">
        <v>0</v>
      </c>
      <c r="R475" s="2">
        <v>38</v>
      </c>
      <c r="S475" s="2">
        <v>83</v>
      </c>
      <c r="T475" s="2">
        <v>9</v>
      </c>
      <c r="U475" s="2">
        <v>9</v>
      </c>
      <c r="V475" s="2">
        <v>368</v>
      </c>
      <c r="W475" s="3">
        <f>V475/S475</f>
        <v>4.4337349397590362</v>
      </c>
      <c r="X475" s="3">
        <f>V475/U475</f>
        <v>40.888888888888886</v>
      </c>
      <c r="Y475" s="4">
        <f>S475*6/U475</f>
        <v>55.333333333333336</v>
      </c>
      <c r="Z475" s="2">
        <v>2</v>
      </c>
      <c r="AA475" s="2">
        <v>0</v>
      </c>
      <c r="AB475" s="2">
        <v>0</v>
      </c>
      <c r="AC475" s="2">
        <v>0</v>
      </c>
    </row>
    <row r="476" spans="1:29" x14ac:dyDescent="0.35">
      <c r="A476" s="35" t="s">
        <v>1362</v>
      </c>
      <c r="B476" s="35" t="s">
        <v>1363</v>
      </c>
      <c r="C476">
        <f>D476+E476+F476+G476+H476+I476</f>
        <v>12</v>
      </c>
      <c r="D476" s="5">
        <v>0</v>
      </c>
      <c r="E476" s="5">
        <v>9</v>
      </c>
      <c r="F476" s="5">
        <v>3</v>
      </c>
      <c r="G476" s="5">
        <v>0</v>
      </c>
      <c r="H476" s="5">
        <v>0</v>
      </c>
      <c r="I476" s="5">
        <v>0</v>
      </c>
      <c r="J476" s="5">
        <v>4</v>
      </c>
      <c r="K476">
        <f>J476+L476</f>
        <v>8</v>
      </c>
      <c r="L476" s="5">
        <v>4</v>
      </c>
      <c r="M476" s="5">
        <v>5</v>
      </c>
      <c r="N476" s="5">
        <f>73+39</f>
        <v>112</v>
      </c>
      <c r="O476" s="3">
        <f>N476/J476</f>
        <v>28</v>
      </c>
      <c r="P476" s="5">
        <v>1</v>
      </c>
      <c r="Q476" s="5">
        <v>0</v>
      </c>
      <c r="R476" s="35" t="s">
        <v>1287</v>
      </c>
      <c r="S476" s="35">
        <f>94+21</f>
        <v>115</v>
      </c>
      <c r="T476" s="35">
        <v>22</v>
      </c>
      <c r="U476" s="35">
        <v>13</v>
      </c>
      <c r="V476" s="35">
        <f>287+107</f>
        <v>394</v>
      </c>
      <c r="W476" s="3">
        <f>V476/S476</f>
        <v>3.4260869565217393</v>
      </c>
      <c r="X476" s="3">
        <f>V476/U476</f>
        <v>30.307692307692307</v>
      </c>
      <c r="Y476" s="3">
        <f>S476*6/U476</f>
        <v>53.07692307692308</v>
      </c>
      <c r="Z476" s="35" t="s">
        <v>1266</v>
      </c>
      <c r="AA476" s="35">
        <v>0</v>
      </c>
      <c r="AB476" s="5">
        <v>0</v>
      </c>
      <c r="AC476" s="5">
        <v>3</v>
      </c>
    </row>
    <row r="477" spans="1:29" x14ac:dyDescent="0.35">
      <c r="A477" s="1" t="s">
        <v>568</v>
      </c>
      <c r="B477" s="1" t="s">
        <v>541</v>
      </c>
      <c r="C477">
        <f>D477+E477+F477+G477+H477+I477</f>
        <v>9</v>
      </c>
      <c r="D477" s="2">
        <v>0</v>
      </c>
      <c r="E477" s="2">
        <v>0</v>
      </c>
      <c r="F477" s="2">
        <v>0</v>
      </c>
      <c r="G477" s="2">
        <v>4</v>
      </c>
      <c r="H477" s="2">
        <v>5</v>
      </c>
      <c r="I477" s="2">
        <v>0</v>
      </c>
      <c r="J477" s="2">
        <v>5</v>
      </c>
      <c r="K477">
        <f>J477+L477</f>
        <v>5</v>
      </c>
      <c r="L477" s="2">
        <v>0</v>
      </c>
      <c r="M477" s="2">
        <v>5</v>
      </c>
      <c r="N477" s="2">
        <v>86</v>
      </c>
      <c r="O477" s="3">
        <f>N477/J477</f>
        <v>17.2</v>
      </c>
      <c r="P477" s="2">
        <v>0</v>
      </c>
      <c r="Q477" s="2">
        <v>0</v>
      </c>
      <c r="R477" s="2">
        <v>31</v>
      </c>
      <c r="S477" s="2">
        <v>53</v>
      </c>
      <c r="T477" s="2">
        <v>4</v>
      </c>
      <c r="U477" s="2">
        <v>9</v>
      </c>
      <c r="V477" s="2">
        <v>251</v>
      </c>
      <c r="W477" s="3">
        <f>V477/S477</f>
        <v>4.7358490566037732</v>
      </c>
      <c r="X477" s="3">
        <f>V477/U477</f>
        <v>27.888888888888889</v>
      </c>
      <c r="Y477" s="4">
        <f>S477*6/U477</f>
        <v>35.333333333333336</v>
      </c>
      <c r="Z477" s="2">
        <v>3</v>
      </c>
      <c r="AA477" s="2">
        <v>0</v>
      </c>
      <c r="AB477" s="2">
        <v>0</v>
      </c>
      <c r="AC477" s="2">
        <v>1</v>
      </c>
    </row>
    <row r="478" spans="1:29" x14ac:dyDescent="0.35">
      <c r="A478" s="22" t="s">
        <v>1123</v>
      </c>
      <c r="B478" s="22" t="s">
        <v>603</v>
      </c>
      <c r="C478" s="18">
        <f>D478+E478+F478+G478+H478+I478</f>
        <v>50</v>
      </c>
      <c r="D478" s="16">
        <v>14</v>
      </c>
      <c r="E478" s="16">
        <f>25+9</f>
        <v>34</v>
      </c>
      <c r="F478" s="16">
        <v>0</v>
      </c>
      <c r="G478" s="16">
        <v>0</v>
      </c>
      <c r="H478" s="16">
        <v>2</v>
      </c>
      <c r="I478" s="16">
        <v>0</v>
      </c>
      <c r="J478" s="16">
        <v>40</v>
      </c>
      <c r="K478" s="18">
        <f>J478+L478</f>
        <v>50</v>
      </c>
      <c r="L478" s="16">
        <v>10</v>
      </c>
      <c r="M478" s="16">
        <v>2</v>
      </c>
      <c r="N478" s="16">
        <f>1063+236</f>
        <v>1299</v>
      </c>
      <c r="O478" s="19">
        <f>N478/J478</f>
        <v>32.475000000000001</v>
      </c>
      <c r="P478" s="16">
        <v>10</v>
      </c>
      <c r="Q478" s="16">
        <v>0</v>
      </c>
      <c r="R478" s="22">
        <v>86</v>
      </c>
      <c r="S478" s="22">
        <v>53</v>
      </c>
      <c r="T478" s="22">
        <v>8</v>
      </c>
      <c r="U478" s="22">
        <v>9</v>
      </c>
      <c r="V478" s="22">
        <v>187</v>
      </c>
      <c r="W478" s="19">
        <f>V478/S478</f>
        <v>3.5283018867924527</v>
      </c>
      <c r="X478" s="19">
        <f>V478/U478</f>
        <v>20.777777777777779</v>
      </c>
      <c r="Y478" s="19">
        <f>S478*6/U478</f>
        <v>35.333333333333336</v>
      </c>
      <c r="Z478" s="22" t="s">
        <v>1211</v>
      </c>
      <c r="AA478" s="16">
        <v>0</v>
      </c>
      <c r="AB478" s="16">
        <v>0</v>
      </c>
      <c r="AC478" s="16">
        <v>25</v>
      </c>
    </row>
    <row r="479" spans="1:29" x14ac:dyDescent="0.35">
      <c r="A479" s="35" t="s">
        <v>1369</v>
      </c>
      <c r="B479" s="35" t="s">
        <v>1370</v>
      </c>
      <c r="C479">
        <f>D479+E479+F479+G479+H479+I479</f>
        <v>7</v>
      </c>
      <c r="D479" s="5">
        <v>0</v>
      </c>
      <c r="E479" s="5">
        <v>3</v>
      </c>
      <c r="F479" s="5">
        <v>3</v>
      </c>
      <c r="G479" s="5">
        <v>1</v>
      </c>
      <c r="H479" s="5">
        <v>0</v>
      </c>
      <c r="I479" s="5">
        <v>0</v>
      </c>
      <c r="J479" s="5">
        <v>1</v>
      </c>
      <c r="K479">
        <f>J479+L479</f>
        <v>4</v>
      </c>
      <c r="L479" s="5">
        <v>3</v>
      </c>
      <c r="M479" s="5">
        <v>3</v>
      </c>
      <c r="N479" s="5">
        <v>24</v>
      </c>
      <c r="O479" s="3">
        <f>N479/J479</f>
        <v>24</v>
      </c>
      <c r="P479" s="5">
        <v>0</v>
      </c>
      <c r="Q479" s="5">
        <v>0</v>
      </c>
      <c r="R479" s="35">
        <v>11</v>
      </c>
      <c r="S479" s="35">
        <v>39</v>
      </c>
      <c r="T479" s="35">
        <v>8</v>
      </c>
      <c r="U479" s="35">
        <v>4</v>
      </c>
      <c r="V479" s="35">
        <f>55+79</f>
        <v>134</v>
      </c>
      <c r="W479" s="3">
        <f>V479/S479</f>
        <v>3.4358974358974357</v>
      </c>
      <c r="X479" s="3">
        <f>V479/U479</f>
        <v>33.5</v>
      </c>
      <c r="Y479" s="3">
        <f>S479*6/U479</f>
        <v>58.5</v>
      </c>
      <c r="Z479" s="35" t="s">
        <v>1266</v>
      </c>
      <c r="AA479" s="35">
        <v>0</v>
      </c>
      <c r="AB479" s="35">
        <v>0</v>
      </c>
      <c r="AC479" s="5">
        <v>1</v>
      </c>
    </row>
    <row r="480" spans="1:29" x14ac:dyDescent="0.35">
      <c r="A480" s="34" t="s">
        <v>569</v>
      </c>
      <c r="B480" s="34" t="s">
        <v>570</v>
      </c>
      <c r="C480">
        <f>D480+E480+F480+G480+H480+I480</f>
        <v>1</v>
      </c>
      <c r="D480" s="5">
        <v>0</v>
      </c>
      <c r="E480" s="5">
        <v>0</v>
      </c>
      <c r="F480" s="5">
        <v>0</v>
      </c>
      <c r="G480" s="5">
        <v>0</v>
      </c>
      <c r="H480" s="5">
        <v>1</v>
      </c>
      <c r="I480" s="5">
        <v>0</v>
      </c>
      <c r="J480" s="5">
        <v>1</v>
      </c>
      <c r="K480">
        <f>J480+L480</f>
        <v>1</v>
      </c>
      <c r="L480" s="5">
        <v>0</v>
      </c>
      <c r="M480" s="5">
        <v>0</v>
      </c>
      <c r="N480" s="5">
        <v>37</v>
      </c>
      <c r="O480" s="3">
        <f>N480/J480</f>
        <v>37</v>
      </c>
      <c r="P480" s="5">
        <v>0</v>
      </c>
      <c r="Q480" s="5">
        <v>0</v>
      </c>
      <c r="R480" s="40">
        <v>37</v>
      </c>
      <c r="S480" s="40">
        <v>0</v>
      </c>
      <c r="T480" s="40">
        <v>0</v>
      </c>
      <c r="U480" s="40">
        <v>0</v>
      </c>
      <c r="V480" s="40">
        <v>0</v>
      </c>
      <c r="W480" s="3" t="e">
        <f>V480/S480</f>
        <v>#DIV/0!</v>
      </c>
      <c r="X480" s="3" t="e">
        <f>V480/U480</f>
        <v>#DIV/0!</v>
      </c>
      <c r="Y480" s="4" t="e">
        <f>S480*6/U480</f>
        <v>#DIV/0!</v>
      </c>
      <c r="Z480" s="40">
        <v>0</v>
      </c>
      <c r="AA480" s="5">
        <v>0</v>
      </c>
      <c r="AB480" s="5">
        <v>0</v>
      </c>
      <c r="AC480" s="5">
        <v>0</v>
      </c>
    </row>
    <row r="481" spans="1:29" x14ac:dyDescent="0.35">
      <c r="A481" s="1" t="s">
        <v>571</v>
      </c>
      <c r="B481" s="1" t="s">
        <v>572</v>
      </c>
      <c r="C481">
        <f>D481+E481+F481+G481+H481+I481</f>
        <v>39</v>
      </c>
      <c r="D481" s="2">
        <v>0</v>
      </c>
      <c r="E481" s="2">
        <v>2</v>
      </c>
      <c r="F481" s="2">
        <v>12</v>
      </c>
      <c r="G481" s="2">
        <v>10</v>
      </c>
      <c r="H481" s="2">
        <v>15</v>
      </c>
      <c r="I481" s="2">
        <v>0</v>
      </c>
      <c r="J481" s="2">
        <v>29</v>
      </c>
      <c r="K481">
        <f>J481+L481</f>
        <v>33</v>
      </c>
      <c r="L481" s="2">
        <v>4</v>
      </c>
      <c r="M481" s="2">
        <v>6</v>
      </c>
      <c r="N481" s="2">
        <f>370+52</f>
        <v>422</v>
      </c>
      <c r="O481" s="3">
        <f>N481/J481</f>
        <v>14.551724137931034</v>
      </c>
      <c r="P481" s="2">
        <v>2</v>
      </c>
      <c r="Q481" s="2">
        <v>0</v>
      </c>
      <c r="R481" s="2">
        <v>75</v>
      </c>
      <c r="S481" s="2">
        <v>142</v>
      </c>
      <c r="T481" s="2">
        <v>14</v>
      </c>
      <c r="U481" s="2">
        <v>31</v>
      </c>
      <c r="V481" s="2">
        <f>531+63</f>
        <v>594</v>
      </c>
      <c r="W481" s="3">
        <f>V481/S481</f>
        <v>4.183098591549296</v>
      </c>
      <c r="X481" s="3">
        <f>V481/U481</f>
        <v>19.161290322580644</v>
      </c>
      <c r="Y481" s="4">
        <f>S481*6/U481</f>
        <v>27.483870967741936</v>
      </c>
      <c r="Z481" s="2">
        <v>4</v>
      </c>
      <c r="AA481" s="2">
        <v>0</v>
      </c>
      <c r="AB481" s="2">
        <v>0</v>
      </c>
      <c r="AC481" s="2">
        <v>10</v>
      </c>
    </row>
    <row r="482" spans="1:29" x14ac:dyDescent="0.35">
      <c r="A482" s="1" t="s">
        <v>573</v>
      </c>
      <c r="B482" s="1" t="s">
        <v>574</v>
      </c>
      <c r="C482">
        <f>D482+E482+F482+G482+H482+I482</f>
        <v>1</v>
      </c>
      <c r="D482" s="2">
        <v>0</v>
      </c>
      <c r="E482" s="2">
        <v>1</v>
      </c>
      <c r="F482" s="2">
        <v>0</v>
      </c>
      <c r="G482" s="2">
        <v>0</v>
      </c>
      <c r="H482" s="2">
        <v>0</v>
      </c>
      <c r="I482" s="2">
        <v>0</v>
      </c>
      <c r="J482" s="2">
        <v>1</v>
      </c>
      <c r="K482">
        <f>J482+L482</f>
        <v>1</v>
      </c>
      <c r="L482" s="2">
        <v>0</v>
      </c>
      <c r="M482" s="2">
        <v>0</v>
      </c>
      <c r="N482" s="2">
        <v>4</v>
      </c>
      <c r="O482" s="3">
        <f>N482/J482</f>
        <v>4</v>
      </c>
      <c r="P482" s="2">
        <v>0</v>
      </c>
      <c r="Q482" s="2">
        <v>0</v>
      </c>
      <c r="R482" s="2">
        <v>4</v>
      </c>
      <c r="S482" s="2">
        <v>5</v>
      </c>
      <c r="T482" s="2">
        <v>0</v>
      </c>
      <c r="U482" s="2">
        <v>0</v>
      </c>
      <c r="V482" s="2">
        <v>28</v>
      </c>
      <c r="W482" s="3">
        <f>V482/S482</f>
        <v>5.6</v>
      </c>
      <c r="X482" s="3" t="e">
        <f>V482/U482</f>
        <v>#DIV/0!</v>
      </c>
      <c r="Y482" s="4" t="e">
        <f>S482*6/U482</f>
        <v>#DIV/0!</v>
      </c>
      <c r="Z482" s="2">
        <v>0</v>
      </c>
      <c r="AA482" s="2">
        <v>0</v>
      </c>
      <c r="AB482" s="2">
        <v>0</v>
      </c>
      <c r="AC482" s="2">
        <v>0</v>
      </c>
    </row>
    <row r="483" spans="1:29" x14ac:dyDescent="0.35">
      <c r="A483" s="1" t="s">
        <v>575</v>
      </c>
      <c r="B483" s="1" t="s">
        <v>576</v>
      </c>
      <c r="C483">
        <f>D483+E483+F483+G483+H483+I483</f>
        <v>1</v>
      </c>
      <c r="D483" s="2">
        <v>0</v>
      </c>
      <c r="E483" s="2">
        <v>0</v>
      </c>
      <c r="F483" s="2">
        <v>0</v>
      </c>
      <c r="G483" s="2">
        <v>0</v>
      </c>
      <c r="H483" s="2">
        <v>1</v>
      </c>
      <c r="I483" s="2">
        <v>0</v>
      </c>
      <c r="J483" s="2">
        <v>1</v>
      </c>
      <c r="K483">
        <f>J483+L483</f>
        <v>1</v>
      </c>
      <c r="L483" s="2">
        <v>0</v>
      </c>
      <c r="M483" s="2">
        <v>0</v>
      </c>
      <c r="N483" s="2">
        <v>8</v>
      </c>
      <c r="O483" s="3">
        <f>N483/J483</f>
        <v>8</v>
      </c>
      <c r="P483" s="2">
        <v>0</v>
      </c>
      <c r="Q483" s="2">
        <v>0</v>
      </c>
      <c r="R483" s="2">
        <v>8</v>
      </c>
      <c r="S483" s="2">
        <v>0</v>
      </c>
      <c r="T483" s="2">
        <v>0</v>
      </c>
      <c r="U483" s="2">
        <v>0</v>
      </c>
      <c r="V483" s="2">
        <v>0</v>
      </c>
      <c r="W483" s="3" t="e">
        <f>V483/S483</f>
        <v>#DIV/0!</v>
      </c>
      <c r="X483" s="3" t="e">
        <f>V483/U483</f>
        <v>#DIV/0!</v>
      </c>
      <c r="Y483" s="4" t="e">
        <f>S483*6/U483</f>
        <v>#DIV/0!</v>
      </c>
      <c r="Z483" s="2">
        <v>0</v>
      </c>
      <c r="AA483" s="2">
        <v>0</v>
      </c>
      <c r="AB483" s="2">
        <v>0</v>
      </c>
      <c r="AC483" s="2">
        <v>1</v>
      </c>
    </row>
    <row r="484" spans="1:29" x14ac:dyDescent="0.35">
      <c r="A484" s="1" t="s">
        <v>577</v>
      </c>
      <c r="B484" s="1" t="s">
        <v>541</v>
      </c>
      <c r="C484">
        <f>D484+E484+F484+G484+H484+I484</f>
        <v>2</v>
      </c>
      <c r="D484" s="2">
        <v>0</v>
      </c>
      <c r="E484" s="2">
        <v>0</v>
      </c>
      <c r="F484" s="2">
        <v>0</v>
      </c>
      <c r="G484" s="2">
        <v>2</v>
      </c>
      <c r="H484" s="2">
        <v>0</v>
      </c>
      <c r="I484" s="2">
        <v>0</v>
      </c>
      <c r="J484" s="2">
        <v>1</v>
      </c>
      <c r="K484">
        <f>J484+L484</f>
        <v>1</v>
      </c>
      <c r="L484" s="2">
        <v>0</v>
      </c>
      <c r="M484" s="2">
        <v>0</v>
      </c>
      <c r="N484" s="2">
        <v>9</v>
      </c>
      <c r="O484" s="3">
        <f>N484/J484</f>
        <v>9</v>
      </c>
      <c r="P484" s="2">
        <v>0</v>
      </c>
      <c r="Q484" s="2">
        <v>0</v>
      </c>
      <c r="R484" s="2">
        <v>9</v>
      </c>
      <c r="S484" s="2">
        <v>8</v>
      </c>
      <c r="T484" s="2">
        <v>5</v>
      </c>
      <c r="U484" s="2">
        <v>3</v>
      </c>
      <c r="V484" s="2">
        <v>8</v>
      </c>
      <c r="W484" s="3">
        <f>V484/S484</f>
        <v>1</v>
      </c>
      <c r="X484" s="3">
        <f>V484/U484</f>
        <v>2.6666666666666665</v>
      </c>
      <c r="Y484" s="4">
        <f>S484*6/U484</f>
        <v>16</v>
      </c>
      <c r="Z484" s="2">
        <v>2</v>
      </c>
      <c r="AA484" s="2">
        <v>0</v>
      </c>
      <c r="AB484" s="2">
        <v>0</v>
      </c>
      <c r="AC484" s="2">
        <v>0</v>
      </c>
    </row>
    <row r="485" spans="1:29" x14ac:dyDescent="0.35">
      <c r="A485" s="1" t="s">
        <v>578</v>
      </c>
      <c r="B485" s="1" t="s">
        <v>579</v>
      </c>
      <c r="C485">
        <f>D485+E485+F485+G485+H485+I485</f>
        <v>24</v>
      </c>
      <c r="D485" s="2">
        <v>0</v>
      </c>
      <c r="E485" s="2">
        <v>8</v>
      </c>
      <c r="F485" s="2">
        <v>11</v>
      </c>
      <c r="G485" s="2">
        <v>5</v>
      </c>
      <c r="H485" s="2">
        <v>0</v>
      </c>
      <c r="I485" s="2">
        <v>0</v>
      </c>
      <c r="J485" s="2">
        <v>25</v>
      </c>
      <c r="K485">
        <f>J485+L485</f>
        <v>28</v>
      </c>
      <c r="L485" s="2">
        <v>3</v>
      </c>
      <c r="M485" s="2">
        <v>7</v>
      </c>
      <c r="N485" s="2">
        <v>369</v>
      </c>
      <c r="O485" s="3">
        <f>N485/J485</f>
        <v>14.76</v>
      </c>
      <c r="P485" s="2">
        <v>2</v>
      </c>
      <c r="Q485" s="2">
        <v>0</v>
      </c>
      <c r="R485" s="2">
        <v>72</v>
      </c>
      <c r="S485" s="2">
        <v>159</v>
      </c>
      <c r="T485" s="2">
        <v>18</v>
      </c>
      <c r="U485" s="2">
        <v>19</v>
      </c>
      <c r="V485" s="2">
        <v>596</v>
      </c>
      <c r="W485" s="3">
        <f>V485/S485</f>
        <v>3.7484276729559749</v>
      </c>
      <c r="X485" s="3">
        <f>V485/U485</f>
        <v>31.368421052631579</v>
      </c>
      <c r="Y485" s="4">
        <f>S485*6/U485</f>
        <v>50.210526315789473</v>
      </c>
      <c r="Z485" s="2">
        <v>3</v>
      </c>
      <c r="AA485" s="2">
        <v>0</v>
      </c>
      <c r="AB485" s="2">
        <v>0</v>
      </c>
      <c r="AC485" s="2">
        <v>2</v>
      </c>
    </row>
    <row r="486" spans="1:29" x14ac:dyDescent="0.35">
      <c r="A486" s="35" t="s">
        <v>1427</v>
      </c>
      <c r="B486" s="35" t="s">
        <v>1428</v>
      </c>
      <c r="C486">
        <f>D486+E486+F486+G486+H486+I486</f>
        <v>1</v>
      </c>
      <c r="D486" s="5">
        <v>0</v>
      </c>
      <c r="E486" s="5">
        <v>0</v>
      </c>
      <c r="F486" s="5">
        <v>0</v>
      </c>
      <c r="G486" s="5">
        <v>1</v>
      </c>
      <c r="H486" s="5">
        <v>0</v>
      </c>
      <c r="I486" s="5">
        <v>0</v>
      </c>
      <c r="J486" s="5">
        <v>1</v>
      </c>
      <c r="K486">
        <f>J486+L486</f>
        <v>1</v>
      </c>
      <c r="L486" s="5">
        <v>0</v>
      </c>
      <c r="M486" s="5">
        <v>0</v>
      </c>
      <c r="N486" s="5">
        <v>0</v>
      </c>
      <c r="O486" s="3">
        <f>N486/J486</f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3" t="e">
        <f>V486/S486</f>
        <v>#DIV/0!</v>
      </c>
      <c r="X486" s="3" t="e">
        <f>V486/U486</f>
        <v>#DIV/0!</v>
      </c>
      <c r="Y486" s="4" t="e">
        <f>S486*6/U486</f>
        <v>#DIV/0!</v>
      </c>
      <c r="Z486" s="5">
        <v>0</v>
      </c>
      <c r="AA486" s="5">
        <v>0</v>
      </c>
      <c r="AB486" s="5">
        <v>0</v>
      </c>
      <c r="AC486" s="5">
        <v>0</v>
      </c>
    </row>
    <row r="487" spans="1:29" x14ac:dyDescent="0.35">
      <c r="A487" s="1" t="s">
        <v>580</v>
      </c>
      <c r="B487" s="1" t="s">
        <v>174</v>
      </c>
      <c r="C487">
        <f>D487+E487+F487+G487+H487+I487</f>
        <v>1</v>
      </c>
      <c r="D487" s="2">
        <v>0</v>
      </c>
      <c r="E487" s="2">
        <v>0</v>
      </c>
      <c r="F487" s="2">
        <v>0</v>
      </c>
      <c r="G487" s="2">
        <v>0</v>
      </c>
      <c r="H487" s="2">
        <v>0</v>
      </c>
      <c r="I487" s="2">
        <v>1</v>
      </c>
      <c r="J487" s="2">
        <v>1</v>
      </c>
      <c r="K487">
        <f>J487+L487</f>
        <v>1</v>
      </c>
      <c r="L487" s="2">
        <v>0</v>
      </c>
      <c r="M487" s="2">
        <v>0</v>
      </c>
      <c r="N487" s="2">
        <v>1</v>
      </c>
      <c r="O487" s="3">
        <f>N487/J487</f>
        <v>1</v>
      </c>
      <c r="P487" s="2">
        <v>0</v>
      </c>
      <c r="Q487" s="2">
        <v>0</v>
      </c>
      <c r="R487" s="2">
        <v>1</v>
      </c>
      <c r="S487" s="2">
        <v>6</v>
      </c>
      <c r="T487" s="2">
        <v>0</v>
      </c>
      <c r="U487" s="2">
        <v>1</v>
      </c>
      <c r="V487" s="2">
        <v>18</v>
      </c>
      <c r="W487" s="3">
        <f>V487/S487</f>
        <v>3</v>
      </c>
      <c r="X487" s="3">
        <f>V487/U487</f>
        <v>18</v>
      </c>
      <c r="Y487" s="4">
        <f>S487*6/U487</f>
        <v>36</v>
      </c>
      <c r="Z487" s="2">
        <v>1</v>
      </c>
      <c r="AA487" s="2">
        <v>0</v>
      </c>
      <c r="AB487" s="2">
        <v>0</v>
      </c>
      <c r="AC487" s="2">
        <v>0</v>
      </c>
    </row>
    <row r="488" spans="1:29" x14ac:dyDescent="0.35">
      <c r="A488" s="11" t="s">
        <v>1111</v>
      </c>
      <c r="B488" s="11" t="s">
        <v>1112</v>
      </c>
      <c r="C488">
        <f>D488+E488+F488+G488+H488+I488</f>
        <v>15</v>
      </c>
      <c r="D488" s="2">
        <v>15</v>
      </c>
      <c r="E488" s="2">
        <v>0</v>
      </c>
      <c r="F488" s="2">
        <v>0</v>
      </c>
      <c r="G488" s="2">
        <v>0</v>
      </c>
      <c r="H488" s="2">
        <v>0</v>
      </c>
      <c r="I488" s="2">
        <v>0</v>
      </c>
      <c r="J488" s="2">
        <v>6</v>
      </c>
      <c r="K488">
        <f>J488+L488</f>
        <v>7</v>
      </c>
      <c r="L488" s="2">
        <v>1</v>
      </c>
      <c r="M488" s="2">
        <v>8</v>
      </c>
      <c r="N488" s="2">
        <v>22</v>
      </c>
      <c r="O488" s="3">
        <f>N488/J488</f>
        <v>3.6666666666666665</v>
      </c>
      <c r="P488" s="2">
        <v>0</v>
      </c>
      <c r="Q488" s="2">
        <v>0</v>
      </c>
      <c r="R488" s="2">
        <v>10</v>
      </c>
      <c r="S488" s="11">
        <v>108</v>
      </c>
      <c r="T488" s="11">
        <v>9</v>
      </c>
      <c r="U488" s="11">
        <v>17</v>
      </c>
      <c r="V488" s="11">
        <v>384</v>
      </c>
      <c r="W488">
        <v>3.56</v>
      </c>
      <c r="X488">
        <v>22.59</v>
      </c>
      <c r="Y488" s="4">
        <v>38.11</v>
      </c>
      <c r="Z488" s="11" t="s">
        <v>1113</v>
      </c>
      <c r="AA488" s="2">
        <v>1</v>
      </c>
      <c r="AB488" s="2">
        <v>0</v>
      </c>
      <c r="AC488" s="2">
        <v>4</v>
      </c>
    </row>
    <row r="489" spans="1:29" x14ac:dyDescent="0.35">
      <c r="A489" s="34" t="s">
        <v>581</v>
      </c>
      <c r="B489" s="34" t="s">
        <v>77</v>
      </c>
      <c r="C489">
        <f>D489+E489+F489+G489+H489+I489</f>
        <v>10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10</v>
      </c>
      <c r="J489" s="5">
        <v>8</v>
      </c>
      <c r="K489">
        <f>J489+L489</f>
        <v>9</v>
      </c>
      <c r="L489" s="5">
        <v>1</v>
      </c>
      <c r="M489" s="5">
        <v>1</v>
      </c>
      <c r="N489" s="5">
        <v>115</v>
      </c>
      <c r="O489" s="3">
        <f>N489/J489</f>
        <v>14.375</v>
      </c>
      <c r="P489" s="5">
        <v>0</v>
      </c>
      <c r="Q489" s="5">
        <v>0</v>
      </c>
      <c r="R489" s="5">
        <v>35</v>
      </c>
      <c r="S489" s="40">
        <v>15</v>
      </c>
      <c r="T489" s="40">
        <v>2</v>
      </c>
      <c r="U489" s="40">
        <v>5</v>
      </c>
      <c r="V489" s="40">
        <v>53</v>
      </c>
      <c r="W489" s="3">
        <f>V489/S489</f>
        <v>3.5333333333333332</v>
      </c>
      <c r="X489" s="3">
        <f>V489/U489</f>
        <v>10.6</v>
      </c>
      <c r="Y489" s="4">
        <f>S489*6/U489</f>
        <v>18</v>
      </c>
      <c r="Z489" s="40">
        <v>2</v>
      </c>
      <c r="AA489" s="5">
        <v>0</v>
      </c>
      <c r="AB489" s="5">
        <v>0</v>
      </c>
      <c r="AC489" s="5">
        <v>0</v>
      </c>
    </row>
    <row r="490" spans="1:29" x14ac:dyDescent="0.35">
      <c r="A490" s="1" t="s">
        <v>581</v>
      </c>
      <c r="B490" s="1" t="s">
        <v>144</v>
      </c>
      <c r="C490">
        <f>D490+E490+F490+G490+H490+I490</f>
        <v>1</v>
      </c>
      <c r="D490" s="2">
        <v>0</v>
      </c>
      <c r="E490" s="2">
        <v>0</v>
      </c>
      <c r="F490" s="2">
        <v>0</v>
      </c>
      <c r="G490" s="2">
        <v>1</v>
      </c>
      <c r="H490" s="2">
        <v>0</v>
      </c>
      <c r="I490" s="2">
        <v>0</v>
      </c>
      <c r="J490" s="2">
        <v>1</v>
      </c>
      <c r="K490">
        <f>J490+L490</f>
        <v>1</v>
      </c>
      <c r="L490" s="2">
        <v>0</v>
      </c>
      <c r="M490" s="2">
        <v>0</v>
      </c>
      <c r="N490" s="2">
        <v>0</v>
      </c>
      <c r="O490" s="3">
        <f>N490/J490</f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>
        <v>0</v>
      </c>
      <c r="V490" s="2">
        <v>0</v>
      </c>
      <c r="W490" s="3" t="e">
        <f>V490/S490</f>
        <v>#DIV/0!</v>
      </c>
      <c r="X490" s="3" t="e">
        <f>V490/U490</f>
        <v>#DIV/0!</v>
      </c>
      <c r="Y490" s="4" t="e">
        <f>S490*6/U490</f>
        <v>#DIV/0!</v>
      </c>
      <c r="Z490" s="2">
        <v>0</v>
      </c>
      <c r="AA490" s="2">
        <v>0</v>
      </c>
      <c r="AB490" s="2">
        <v>0</v>
      </c>
      <c r="AC490" s="2">
        <v>0</v>
      </c>
    </row>
    <row r="491" spans="1:29" x14ac:dyDescent="0.35">
      <c r="A491" s="11" t="s">
        <v>1135</v>
      </c>
      <c r="B491" s="11" t="s">
        <v>1136</v>
      </c>
      <c r="C491">
        <f>D491+E491+F491+G491+H491+I491</f>
        <v>22</v>
      </c>
      <c r="D491" s="2">
        <v>0</v>
      </c>
      <c r="E491" s="2">
        <v>0</v>
      </c>
      <c r="F491" s="2">
        <v>2</v>
      </c>
      <c r="G491" s="2">
        <v>10</v>
      </c>
      <c r="H491" s="2">
        <v>10</v>
      </c>
      <c r="I491" s="2">
        <v>0</v>
      </c>
      <c r="J491" s="2">
        <v>20</v>
      </c>
      <c r="K491">
        <f>J491+L491</f>
        <v>22</v>
      </c>
      <c r="L491" s="2">
        <v>2</v>
      </c>
      <c r="M491" s="2">
        <v>0</v>
      </c>
      <c r="N491" s="2">
        <f>392+220</f>
        <v>612</v>
      </c>
      <c r="O491" s="3">
        <f>N491/J491</f>
        <v>30.6</v>
      </c>
      <c r="P491" s="2">
        <v>2</v>
      </c>
      <c r="Q491" s="2">
        <v>2</v>
      </c>
      <c r="R491" s="2">
        <v>118</v>
      </c>
      <c r="S491" s="11">
        <f>47+24</f>
        <v>71</v>
      </c>
      <c r="T491" s="11">
        <v>7</v>
      </c>
      <c r="U491" s="11">
        <v>19</v>
      </c>
      <c r="V491" s="11">
        <f>179+152</f>
        <v>331</v>
      </c>
      <c r="W491" s="3">
        <f>V491/S491</f>
        <v>4.6619718309859151</v>
      </c>
      <c r="X491" s="3">
        <f>V491/U491</f>
        <v>17.421052631578949</v>
      </c>
      <c r="Y491" s="4">
        <f>S491*6/U491</f>
        <v>22.421052631578949</v>
      </c>
      <c r="Z491" s="17" t="s">
        <v>1140</v>
      </c>
      <c r="AA491" s="2">
        <v>2</v>
      </c>
      <c r="AB491" s="2">
        <v>0</v>
      </c>
      <c r="AC491" s="2">
        <v>13</v>
      </c>
    </row>
    <row r="492" spans="1:29" x14ac:dyDescent="0.35">
      <c r="A492" t="s">
        <v>1135</v>
      </c>
      <c r="B492" t="s">
        <v>1141</v>
      </c>
      <c r="C492">
        <f>D492+E492+F492+G492+H492+I492</f>
        <v>10</v>
      </c>
      <c r="D492" s="5">
        <v>0</v>
      </c>
      <c r="E492" s="5">
        <v>0</v>
      </c>
      <c r="F492" s="5">
        <v>0</v>
      </c>
      <c r="G492" s="5">
        <v>10</v>
      </c>
      <c r="H492" s="5">
        <v>0</v>
      </c>
      <c r="I492" s="5">
        <v>0</v>
      </c>
      <c r="J492" s="5">
        <v>9</v>
      </c>
      <c r="K492">
        <f>J492+L492</f>
        <v>10</v>
      </c>
      <c r="L492" s="5">
        <v>1</v>
      </c>
      <c r="M492" s="5">
        <v>0</v>
      </c>
      <c r="N492" s="5">
        <v>275</v>
      </c>
      <c r="O492" s="3">
        <f>N492/J492</f>
        <v>30.555555555555557</v>
      </c>
      <c r="P492" s="5">
        <v>3</v>
      </c>
      <c r="Q492" s="5">
        <v>0</v>
      </c>
      <c r="R492" s="10" t="s">
        <v>1142</v>
      </c>
      <c r="S492">
        <v>1</v>
      </c>
      <c r="T492">
        <v>0</v>
      </c>
      <c r="U492">
        <v>1</v>
      </c>
      <c r="V492">
        <v>22</v>
      </c>
      <c r="W492" s="3">
        <v>22</v>
      </c>
      <c r="X492" s="3">
        <v>22</v>
      </c>
      <c r="Y492" s="4">
        <v>22</v>
      </c>
      <c r="Z492" t="s">
        <v>1143</v>
      </c>
      <c r="AA492" s="5">
        <v>0</v>
      </c>
      <c r="AB492" s="5">
        <v>0</v>
      </c>
      <c r="AC492" s="5">
        <v>1</v>
      </c>
    </row>
    <row r="493" spans="1:29" x14ac:dyDescent="0.35">
      <c r="A493" s="35" t="s">
        <v>1135</v>
      </c>
      <c r="B493" s="35" t="s">
        <v>1144</v>
      </c>
      <c r="C493">
        <f>D493+E493+F493+G493+H493+I493</f>
        <v>9</v>
      </c>
      <c r="D493" s="5">
        <v>0</v>
      </c>
      <c r="E493" s="5">
        <v>0</v>
      </c>
      <c r="F493" s="5">
        <v>0</v>
      </c>
      <c r="G493" s="5">
        <v>9</v>
      </c>
      <c r="H493" s="5">
        <v>0</v>
      </c>
      <c r="I493" s="5">
        <v>0</v>
      </c>
      <c r="J493" s="5">
        <v>7</v>
      </c>
      <c r="K493">
        <f>J493+L493</f>
        <v>8</v>
      </c>
      <c r="L493" s="5">
        <v>1</v>
      </c>
      <c r="M493" s="5">
        <v>1</v>
      </c>
      <c r="N493" s="5">
        <v>97</v>
      </c>
      <c r="O493" s="3">
        <f>N493/J493</f>
        <v>13.857142857142858</v>
      </c>
      <c r="P493" s="5">
        <v>0</v>
      </c>
      <c r="Q493" s="5">
        <v>0</v>
      </c>
      <c r="R493" s="5">
        <v>49</v>
      </c>
      <c r="S493" s="35">
        <v>52</v>
      </c>
      <c r="T493" s="35">
        <v>3</v>
      </c>
      <c r="U493" s="35">
        <v>9</v>
      </c>
      <c r="V493" s="35">
        <v>263</v>
      </c>
      <c r="W493" s="3">
        <f>263/52</f>
        <v>5.0576923076923075</v>
      </c>
      <c r="X493" s="3">
        <v>29.22</v>
      </c>
      <c r="Y493" s="4">
        <f>S493*6/U493</f>
        <v>34.666666666666664</v>
      </c>
      <c r="Z493" s="35" t="s">
        <v>1145</v>
      </c>
      <c r="AA493" s="5">
        <v>0</v>
      </c>
      <c r="AB493" s="5">
        <v>0</v>
      </c>
      <c r="AC493" s="5">
        <v>0</v>
      </c>
    </row>
    <row r="494" spans="1:29" x14ac:dyDescent="0.35">
      <c r="A494" s="34" t="s">
        <v>582</v>
      </c>
      <c r="B494" s="34" t="s">
        <v>583</v>
      </c>
      <c r="C494">
        <f>D494+E494+F494+G494+H494+I494</f>
        <v>35</v>
      </c>
      <c r="D494" s="5">
        <v>30</v>
      </c>
      <c r="E494" s="5">
        <v>2</v>
      </c>
      <c r="F494" s="5">
        <v>3</v>
      </c>
      <c r="G494" s="5">
        <v>0</v>
      </c>
      <c r="H494" s="5">
        <v>0</v>
      </c>
      <c r="I494" s="5">
        <v>0</v>
      </c>
      <c r="J494" s="5">
        <v>31</v>
      </c>
      <c r="K494">
        <f>J494+L494</f>
        <v>33</v>
      </c>
      <c r="L494" s="5">
        <v>2</v>
      </c>
      <c r="M494" s="5">
        <v>6</v>
      </c>
      <c r="N494" s="5">
        <v>499</v>
      </c>
      <c r="O494" s="3">
        <f>N494/J494</f>
        <v>16.096774193548388</v>
      </c>
      <c r="P494" s="5">
        <v>0</v>
      </c>
      <c r="Q494" s="5">
        <v>0</v>
      </c>
      <c r="R494" s="40">
        <v>40</v>
      </c>
      <c r="S494" s="40">
        <v>5</v>
      </c>
      <c r="T494" s="40">
        <v>0</v>
      </c>
      <c r="U494" s="40">
        <v>0</v>
      </c>
      <c r="V494" s="40">
        <v>29</v>
      </c>
      <c r="W494" s="3">
        <f>V494/S494</f>
        <v>5.8</v>
      </c>
      <c r="X494" s="3" t="e">
        <f>V494/U494</f>
        <v>#DIV/0!</v>
      </c>
      <c r="Y494" s="4" t="e">
        <f>S494*6/U494</f>
        <v>#DIV/0!</v>
      </c>
      <c r="Z494" s="40">
        <v>0</v>
      </c>
      <c r="AA494" s="5">
        <v>0</v>
      </c>
      <c r="AB494" s="5">
        <v>0</v>
      </c>
      <c r="AC494" s="5">
        <v>36</v>
      </c>
    </row>
    <row r="495" spans="1:29" x14ac:dyDescent="0.35">
      <c r="A495" s="25" t="s">
        <v>582</v>
      </c>
      <c r="B495" t="s">
        <v>1271</v>
      </c>
      <c r="C495">
        <f>D495+E495+F495+G495+H495+I495</f>
        <v>9</v>
      </c>
      <c r="D495" s="5">
        <v>0</v>
      </c>
      <c r="E495" s="5">
        <v>0</v>
      </c>
      <c r="F495" s="5">
        <v>4</v>
      </c>
      <c r="G495" s="5">
        <v>0</v>
      </c>
      <c r="H495" s="5">
        <v>3</v>
      </c>
      <c r="I495" s="5">
        <v>2</v>
      </c>
      <c r="J495" s="5">
        <v>7</v>
      </c>
      <c r="K495">
        <f>J495+L495</f>
        <v>9</v>
      </c>
      <c r="L495" s="5">
        <v>2</v>
      </c>
      <c r="M495" s="5">
        <v>0</v>
      </c>
      <c r="N495" s="5">
        <f>126+102</f>
        <v>228</v>
      </c>
      <c r="O495" s="3">
        <f>N495/J495</f>
        <v>32.571428571428569</v>
      </c>
      <c r="P495" s="5">
        <v>1</v>
      </c>
      <c r="Q495" s="5">
        <v>0</v>
      </c>
      <c r="R495" s="35" t="s">
        <v>1355</v>
      </c>
      <c r="S495" s="12">
        <v>10.5</v>
      </c>
      <c r="T495" s="12">
        <v>0</v>
      </c>
      <c r="U495" s="12">
        <v>1</v>
      </c>
      <c r="V495" s="12">
        <f>23+29</f>
        <v>52</v>
      </c>
      <c r="W495" s="14">
        <f>V495/S495</f>
        <v>4.9523809523809526</v>
      </c>
      <c r="X495" s="14">
        <f>V495/U495</f>
        <v>52</v>
      </c>
      <c r="Y495" s="3">
        <f>S495*6/U495</f>
        <v>63</v>
      </c>
      <c r="Z495" s="6" t="s">
        <v>1327</v>
      </c>
      <c r="AA495" s="5">
        <v>0</v>
      </c>
      <c r="AB495" s="5">
        <v>0</v>
      </c>
      <c r="AC495" s="5">
        <v>1</v>
      </c>
    </row>
    <row r="496" spans="1:29" x14ac:dyDescent="0.35">
      <c r="A496" s="1" t="s">
        <v>582</v>
      </c>
      <c r="B496" s="1" t="s">
        <v>174</v>
      </c>
      <c r="C496">
        <f>D496+E496+F496+G496+H496+I496</f>
        <v>1</v>
      </c>
      <c r="D496" s="2">
        <v>0</v>
      </c>
      <c r="E496" s="2">
        <v>0</v>
      </c>
      <c r="F496" s="2">
        <v>0</v>
      </c>
      <c r="G496" s="2">
        <v>1</v>
      </c>
      <c r="H496" s="2">
        <v>0</v>
      </c>
      <c r="I496" s="2">
        <v>0</v>
      </c>
      <c r="J496" s="2">
        <v>1</v>
      </c>
      <c r="K496">
        <f>J496+L496</f>
        <v>1</v>
      </c>
      <c r="L496" s="2">
        <v>0</v>
      </c>
      <c r="M496" s="2">
        <v>0</v>
      </c>
      <c r="N496" s="2">
        <v>34</v>
      </c>
      <c r="O496" s="3">
        <f>N496/J496</f>
        <v>34</v>
      </c>
      <c r="P496" s="2">
        <v>0</v>
      </c>
      <c r="Q496" s="2">
        <v>0</v>
      </c>
      <c r="R496" s="2">
        <v>34</v>
      </c>
      <c r="S496" s="2">
        <v>0</v>
      </c>
      <c r="T496" s="2">
        <v>0</v>
      </c>
      <c r="U496" s="2">
        <v>0</v>
      </c>
      <c r="V496" s="2">
        <v>0</v>
      </c>
      <c r="W496" s="3" t="e">
        <f>V496/S496</f>
        <v>#DIV/0!</v>
      </c>
      <c r="X496" s="3" t="e">
        <f>V496/U496</f>
        <v>#DIV/0!</v>
      </c>
      <c r="Y496" s="4" t="e">
        <f>S496*6/U496</f>
        <v>#DIV/0!</v>
      </c>
      <c r="Z496" s="2">
        <v>0</v>
      </c>
      <c r="AA496" s="2">
        <v>0</v>
      </c>
      <c r="AB496" s="2">
        <v>0</v>
      </c>
      <c r="AC496" s="2">
        <v>0</v>
      </c>
    </row>
    <row r="497" spans="1:29" x14ac:dyDescent="0.35">
      <c r="A497" s="1" t="s">
        <v>584</v>
      </c>
      <c r="B497" s="1" t="s">
        <v>585</v>
      </c>
      <c r="C497">
        <f>D497+E497+F497+G497+H497+I497</f>
        <v>1</v>
      </c>
      <c r="D497" s="2">
        <v>0</v>
      </c>
      <c r="E497" s="2">
        <v>0</v>
      </c>
      <c r="F497" s="2">
        <v>1</v>
      </c>
      <c r="G497" s="2">
        <v>0</v>
      </c>
      <c r="H497" s="2">
        <v>0</v>
      </c>
      <c r="I497" s="2">
        <v>0</v>
      </c>
      <c r="J497" s="2">
        <v>0</v>
      </c>
      <c r="K497">
        <f>J497+L497</f>
        <v>0</v>
      </c>
      <c r="L497" s="2">
        <v>0</v>
      </c>
      <c r="M497" s="2">
        <v>1</v>
      </c>
      <c r="N497" s="2">
        <v>0</v>
      </c>
      <c r="O497" s="3" t="e">
        <f>N497/J497</f>
        <v>#DIV/0!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>
        <v>0</v>
      </c>
      <c r="V497" s="2">
        <v>0</v>
      </c>
      <c r="W497" s="3" t="e">
        <f>V497/S497</f>
        <v>#DIV/0!</v>
      </c>
      <c r="X497" s="3" t="e">
        <f>V497/U497</f>
        <v>#DIV/0!</v>
      </c>
      <c r="Y497" s="4" t="e">
        <f>S497*6/U497</f>
        <v>#DIV/0!</v>
      </c>
      <c r="Z497" s="2">
        <v>0</v>
      </c>
      <c r="AA497" s="2">
        <v>0</v>
      </c>
      <c r="AB497" s="2">
        <v>0</v>
      </c>
      <c r="AC497" s="2">
        <v>0</v>
      </c>
    </row>
    <row r="498" spans="1:29" x14ac:dyDescent="0.35">
      <c r="A498" s="1" t="s">
        <v>586</v>
      </c>
      <c r="B498" s="1" t="s">
        <v>124</v>
      </c>
      <c r="C498">
        <f>D498+E498+F498+G498+H498+I498</f>
        <v>18</v>
      </c>
      <c r="D498" s="2">
        <v>0</v>
      </c>
      <c r="E498" s="2">
        <v>0</v>
      </c>
      <c r="F498" s="2">
        <v>1</v>
      </c>
      <c r="G498" s="2">
        <v>17</v>
      </c>
      <c r="H498" s="2">
        <v>0</v>
      </c>
      <c r="I498" s="2">
        <v>0</v>
      </c>
      <c r="J498" s="2">
        <v>14</v>
      </c>
      <c r="K498">
        <f>J498+L498</f>
        <v>17</v>
      </c>
      <c r="L498" s="2">
        <v>3</v>
      </c>
      <c r="M498" s="2">
        <v>4</v>
      </c>
      <c r="N498" s="2">
        <v>112</v>
      </c>
      <c r="O498" s="3">
        <f>N498/J498</f>
        <v>8</v>
      </c>
      <c r="P498" s="2">
        <v>0</v>
      </c>
      <c r="Q498" s="2">
        <v>0</v>
      </c>
      <c r="R498" s="2">
        <v>30</v>
      </c>
      <c r="S498" s="2">
        <v>37</v>
      </c>
      <c r="T498" s="2">
        <v>3</v>
      </c>
      <c r="U498" s="2">
        <v>4</v>
      </c>
      <c r="V498" s="2">
        <v>165</v>
      </c>
      <c r="W498" s="3">
        <f>V498/S498</f>
        <v>4.4594594594594597</v>
      </c>
      <c r="X498" s="3">
        <f>V498/U498</f>
        <v>41.25</v>
      </c>
      <c r="Y498" s="4">
        <f>S498*6/U498</f>
        <v>55.5</v>
      </c>
      <c r="Z498" s="2">
        <v>1</v>
      </c>
      <c r="AA498" s="2">
        <v>0</v>
      </c>
      <c r="AB498" s="2">
        <v>0</v>
      </c>
      <c r="AC498" s="2">
        <v>4</v>
      </c>
    </row>
    <row r="499" spans="1:29" x14ac:dyDescent="0.35">
      <c r="A499" s="1" t="s">
        <v>586</v>
      </c>
      <c r="B499" s="1" t="s">
        <v>87</v>
      </c>
      <c r="C499">
        <f>D499+E499+F499+G499+H499+I499</f>
        <v>6</v>
      </c>
      <c r="D499" s="2">
        <v>0</v>
      </c>
      <c r="E499" s="2">
        <v>0</v>
      </c>
      <c r="F499" s="2">
        <v>0</v>
      </c>
      <c r="G499" s="2">
        <v>6</v>
      </c>
      <c r="H499" s="2">
        <v>0</v>
      </c>
      <c r="I499" s="2">
        <v>0</v>
      </c>
      <c r="J499" s="2">
        <v>5</v>
      </c>
      <c r="K499">
        <f>J499+L499</f>
        <v>5</v>
      </c>
      <c r="L499" s="2">
        <v>0</v>
      </c>
      <c r="M499" s="2">
        <v>3</v>
      </c>
      <c r="N499" s="2">
        <v>18</v>
      </c>
      <c r="O499" s="3">
        <f>N499/J499</f>
        <v>3.6</v>
      </c>
      <c r="P499" s="2">
        <v>0</v>
      </c>
      <c r="Q499" s="2">
        <v>0</v>
      </c>
      <c r="R499" s="2">
        <v>9</v>
      </c>
      <c r="S499" s="2">
        <v>12</v>
      </c>
      <c r="T499" s="2">
        <v>0</v>
      </c>
      <c r="U499" s="2">
        <v>1</v>
      </c>
      <c r="V499" s="2">
        <v>50</v>
      </c>
      <c r="W499" s="3">
        <f>V499/S499</f>
        <v>4.166666666666667</v>
      </c>
      <c r="X499" s="3">
        <f>V499/U499</f>
        <v>50</v>
      </c>
      <c r="Y499" s="4">
        <f>S499*6/U499</f>
        <v>72</v>
      </c>
      <c r="Z499" s="2">
        <v>1</v>
      </c>
      <c r="AA499" s="2">
        <v>0</v>
      </c>
      <c r="AB499" s="2">
        <v>0</v>
      </c>
      <c r="AC499" s="2">
        <v>3</v>
      </c>
    </row>
    <row r="500" spans="1:29" x14ac:dyDescent="0.35">
      <c r="A500" s="1" t="s">
        <v>586</v>
      </c>
      <c r="B500" s="1" t="s">
        <v>325</v>
      </c>
      <c r="C500">
        <f>D500+E500+F500+G500+H500+I500</f>
        <v>2</v>
      </c>
      <c r="D500" s="2">
        <v>0</v>
      </c>
      <c r="E500" s="2">
        <v>0</v>
      </c>
      <c r="F500" s="2">
        <v>0</v>
      </c>
      <c r="G500" s="2">
        <v>2</v>
      </c>
      <c r="H500" s="2">
        <v>0</v>
      </c>
      <c r="I500" s="2">
        <v>0</v>
      </c>
      <c r="J500" s="2">
        <v>2</v>
      </c>
      <c r="K500">
        <f>J500+L500</f>
        <v>2</v>
      </c>
      <c r="L500" s="2">
        <v>0</v>
      </c>
      <c r="M500" s="2">
        <v>1</v>
      </c>
      <c r="N500" s="2">
        <v>8</v>
      </c>
      <c r="O500" s="3">
        <f>N500/J500</f>
        <v>4</v>
      </c>
      <c r="P500" s="2">
        <v>0</v>
      </c>
      <c r="Q500" s="2">
        <v>0</v>
      </c>
      <c r="R500" s="2">
        <v>4</v>
      </c>
      <c r="S500" s="2">
        <v>16</v>
      </c>
      <c r="T500" s="2">
        <v>1</v>
      </c>
      <c r="U500" s="2">
        <v>6</v>
      </c>
      <c r="V500" s="2">
        <v>74</v>
      </c>
      <c r="W500" s="3">
        <f>V500/S500</f>
        <v>4.625</v>
      </c>
      <c r="X500" s="3">
        <f>V500/U500</f>
        <v>12.333333333333334</v>
      </c>
      <c r="Y500" s="4">
        <f>S500*6/U500</f>
        <v>16</v>
      </c>
      <c r="Z500" s="2">
        <v>4</v>
      </c>
      <c r="AA500" s="2">
        <v>0</v>
      </c>
      <c r="AB500" s="2">
        <v>0</v>
      </c>
      <c r="AC500" s="2">
        <v>0</v>
      </c>
    </row>
    <row r="501" spans="1:29" x14ac:dyDescent="0.35">
      <c r="A501" s="11" t="s">
        <v>1226</v>
      </c>
      <c r="B501" s="11" t="s">
        <v>924</v>
      </c>
      <c r="C501">
        <f>D501+E501+F501+G501+H501+I501</f>
        <v>10</v>
      </c>
      <c r="D501" s="2">
        <v>0</v>
      </c>
      <c r="E501" s="2">
        <v>0</v>
      </c>
      <c r="F501" s="2">
        <v>10</v>
      </c>
      <c r="G501" s="2">
        <v>0</v>
      </c>
      <c r="H501" s="2">
        <v>0</v>
      </c>
      <c r="I501" s="2">
        <v>0</v>
      </c>
      <c r="J501" s="2">
        <v>9</v>
      </c>
      <c r="K501">
        <f>J501+L501</f>
        <v>9</v>
      </c>
      <c r="L501" s="2">
        <v>0</v>
      </c>
      <c r="M501" s="2">
        <v>1</v>
      </c>
      <c r="N501" s="2">
        <v>182</v>
      </c>
      <c r="O501" s="3">
        <f>N501/J501</f>
        <v>20.222222222222221</v>
      </c>
      <c r="P501" s="2">
        <v>1</v>
      </c>
      <c r="Q501" s="2">
        <v>0</v>
      </c>
      <c r="R501" s="2">
        <v>76</v>
      </c>
      <c r="S501" s="11">
        <v>4</v>
      </c>
      <c r="T501" s="11">
        <v>0</v>
      </c>
      <c r="U501" s="11">
        <v>1</v>
      </c>
      <c r="V501" s="11">
        <v>34</v>
      </c>
      <c r="W501" s="3">
        <f>V501/S501</f>
        <v>8.5</v>
      </c>
      <c r="X501" s="3">
        <v>34</v>
      </c>
      <c r="Y501" s="3">
        <v>24</v>
      </c>
      <c r="Z501" s="11" t="s">
        <v>1227</v>
      </c>
      <c r="AA501" s="13">
        <v>0</v>
      </c>
      <c r="AB501" s="13">
        <v>0</v>
      </c>
      <c r="AC501" s="13">
        <v>0</v>
      </c>
    </row>
    <row r="502" spans="1:29" x14ac:dyDescent="0.35">
      <c r="A502" s="34" t="s">
        <v>587</v>
      </c>
      <c r="B502" s="34" t="s">
        <v>588</v>
      </c>
      <c r="C502">
        <f>D502+E502+F502+G502+H502+I502</f>
        <v>20</v>
      </c>
      <c r="D502" s="5">
        <v>0</v>
      </c>
      <c r="E502" s="5">
        <v>0</v>
      </c>
      <c r="F502" s="5">
        <v>0</v>
      </c>
      <c r="G502" s="5">
        <v>0</v>
      </c>
      <c r="H502" s="5">
        <v>9</v>
      </c>
      <c r="I502" s="5">
        <v>11</v>
      </c>
      <c r="J502" s="5">
        <v>14</v>
      </c>
      <c r="K502">
        <f>J502+L502</f>
        <v>20</v>
      </c>
      <c r="L502" s="5">
        <v>6</v>
      </c>
      <c r="M502" s="5">
        <v>3</v>
      </c>
      <c r="N502" s="5">
        <v>303</v>
      </c>
      <c r="O502" s="3">
        <f>N502/J502</f>
        <v>21.642857142857142</v>
      </c>
      <c r="P502" s="5">
        <v>0</v>
      </c>
      <c r="Q502" s="5">
        <v>0</v>
      </c>
      <c r="R502" s="5">
        <v>44</v>
      </c>
      <c r="S502" s="40">
        <v>220</v>
      </c>
      <c r="T502" s="40">
        <v>58</v>
      </c>
      <c r="U502" s="40">
        <v>27</v>
      </c>
      <c r="V502" s="40">
        <v>492</v>
      </c>
      <c r="W502" s="3">
        <f>V502/S502</f>
        <v>2.2363636363636363</v>
      </c>
      <c r="X502" s="3">
        <f>V502/U502</f>
        <v>18.222222222222221</v>
      </c>
      <c r="Y502" s="4">
        <f>S502*6/U502</f>
        <v>48.888888888888886</v>
      </c>
      <c r="Z502" s="40">
        <v>4</v>
      </c>
      <c r="AA502" s="40">
        <v>0</v>
      </c>
      <c r="AB502" s="40">
        <v>0</v>
      </c>
      <c r="AC502" s="40">
        <v>1</v>
      </c>
    </row>
    <row r="503" spans="1:29" x14ac:dyDescent="0.35">
      <c r="A503" s="1" t="s">
        <v>587</v>
      </c>
      <c r="B503" s="1" t="s">
        <v>67</v>
      </c>
      <c r="C503">
        <f>D503+E503+F503+G503+H503+I503</f>
        <v>4</v>
      </c>
      <c r="D503" s="2">
        <v>0</v>
      </c>
      <c r="E503" s="2">
        <v>0</v>
      </c>
      <c r="F503" s="2">
        <v>0</v>
      </c>
      <c r="G503" s="2">
        <v>0</v>
      </c>
      <c r="H503" s="2">
        <v>0</v>
      </c>
      <c r="I503" s="2">
        <v>4</v>
      </c>
      <c r="J503" s="2">
        <v>4</v>
      </c>
      <c r="K503">
        <f>J503+L503</f>
        <v>4</v>
      </c>
      <c r="L503" s="2">
        <v>0</v>
      </c>
      <c r="M503" s="2">
        <v>0</v>
      </c>
      <c r="N503" s="2">
        <v>41</v>
      </c>
      <c r="O503" s="3">
        <f>N503/J503</f>
        <v>10.25</v>
      </c>
      <c r="P503" s="2">
        <v>0</v>
      </c>
      <c r="Q503" s="2">
        <v>0</v>
      </c>
      <c r="R503" s="2">
        <v>25</v>
      </c>
      <c r="S503" s="2">
        <v>0</v>
      </c>
      <c r="T503" s="2">
        <v>0</v>
      </c>
      <c r="U503" s="2">
        <v>0</v>
      </c>
      <c r="V503" s="2">
        <v>0</v>
      </c>
      <c r="W503" s="3" t="e">
        <f>V503/S503</f>
        <v>#DIV/0!</v>
      </c>
      <c r="X503" s="3" t="e">
        <f>V503/U503</f>
        <v>#DIV/0!</v>
      </c>
      <c r="Y503" s="4" t="e">
        <f>S503*6/U503</f>
        <v>#DIV/0!</v>
      </c>
      <c r="Z503" s="2">
        <v>0</v>
      </c>
      <c r="AA503" s="2">
        <v>0</v>
      </c>
      <c r="AB503" s="2">
        <v>0</v>
      </c>
      <c r="AC503" s="2">
        <v>0</v>
      </c>
    </row>
    <row r="504" spans="1:29" x14ac:dyDescent="0.35">
      <c r="A504" s="1" t="s">
        <v>589</v>
      </c>
      <c r="B504" s="1" t="s">
        <v>20</v>
      </c>
      <c r="C504">
        <f>D504+E504+F504+G504+H504+I504</f>
        <v>53</v>
      </c>
      <c r="D504" s="2">
        <v>2</v>
      </c>
      <c r="E504" s="2">
        <v>26</v>
      </c>
      <c r="F504" s="2">
        <v>11</v>
      </c>
      <c r="G504" s="2">
        <v>11</v>
      </c>
      <c r="H504" s="2">
        <v>3</v>
      </c>
      <c r="I504" s="2">
        <v>0</v>
      </c>
      <c r="J504" s="2">
        <v>56</v>
      </c>
      <c r="K504">
        <f>J504+L504</f>
        <v>67</v>
      </c>
      <c r="L504" s="2">
        <v>11</v>
      </c>
      <c r="M504" s="2">
        <v>17</v>
      </c>
      <c r="N504" s="2">
        <v>684</v>
      </c>
      <c r="O504" s="3">
        <f>N504/J504</f>
        <v>12.214285714285714</v>
      </c>
      <c r="P504" s="2">
        <v>0</v>
      </c>
      <c r="Q504" s="2">
        <v>0</v>
      </c>
      <c r="R504" s="2">
        <v>48</v>
      </c>
      <c r="S504" s="2">
        <v>677</v>
      </c>
      <c r="T504" s="2">
        <v>135</v>
      </c>
      <c r="U504" s="2">
        <v>104</v>
      </c>
      <c r="V504" s="2">
        <v>2168</v>
      </c>
      <c r="W504" s="3">
        <f>V504/S504</f>
        <v>3.2023633677991139</v>
      </c>
      <c r="X504" s="3">
        <f>V504/U504</f>
        <v>20.846153846153847</v>
      </c>
      <c r="Y504" s="4">
        <f>S504*6/U504</f>
        <v>39.057692307692307</v>
      </c>
      <c r="Z504" s="2">
        <v>7</v>
      </c>
      <c r="AA504" s="2">
        <v>2</v>
      </c>
      <c r="AB504" s="2">
        <v>0</v>
      </c>
      <c r="AC504" s="2">
        <v>7</v>
      </c>
    </row>
    <row r="505" spans="1:29" x14ac:dyDescent="0.35">
      <c r="A505" s="35" t="s">
        <v>1402</v>
      </c>
      <c r="B505" s="35" t="s">
        <v>87</v>
      </c>
      <c r="C505">
        <f>D505+E505+F505+G505+H505+I505</f>
        <v>14</v>
      </c>
      <c r="D505" s="5">
        <v>0</v>
      </c>
      <c r="E505" s="5">
        <v>14</v>
      </c>
      <c r="F505" s="5">
        <v>0</v>
      </c>
      <c r="G505" s="5">
        <v>0</v>
      </c>
      <c r="H505" s="5">
        <v>0</v>
      </c>
      <c r="I505" s="5">
        <v>0</v>
      </c>
      <c r="J505" s="5">
        <v>13</v>
      </c>
      <c r="K505">
        <f>J505+L505</f>
        <v>14</v>
      </c>
      <c r="L505" s="5">
        <v>1</v>
      </c>
      <c r="M505" s="5">
        <v>0</v>
      </c>
      <c r="N505" s="5">
        <v>273</v>
      </c>
      <c r="O505" s="3">
        <f>N505/J505</f>
        <v>21</v>
      </c>
      <c r="P505" s="5">
        <v>2</v>
      </c>
      <c r="Q505" s="5">
        <v>0</v>
      </c>
      <c r="R505" s="5">
        <v>87</v>
      </c>
      <c r="S505" s="35">
        <v>1</v>
      </c>
      <c r="T505" s="35">
        <v>0</v>
      </c>
      <c r="U505" s="35">
        <v>0</v>
      </c>
      <c r="V505" s="35">
        <v>6</v>
      </c>
      <c r="W505" s="3">
        <f>V505/S505</f>
        <v>6</v>
      </c>
      <c r="X505" s="3">
        <v>0</v>
      </c>
      <c r="Y505" s="3">
        <v>0</v>
      </c>
      <c r="Z505" s="35" t="s">
        <v>1293</v>
      </c>
      <c r="AA505" s="45">
        <v>0</v>
      </c>
      <c r="AB505" s="45">
        <v>0</v>
      </c>
      <c r="AC505" s="45">
        <v>4</v>
      </c>
    </row>
    <row r="506" spans="1:29" x14ac:dyDescent="0.35">
      <c r="A506" s="35" t="s">
        <v>1449</v>
      </c>
      <c r="B506" s="35" t="s">
        <v>1450</v>
      </c>
      <c r="C506">
        <f>D506+E506+F506+G506+H506+I506</f>
        <v>1</v>
      </c>
      <c r="D506" s="5">
        <v>0</v>
      </c>
      <c r="E506" s="5">
        <v>0</v>
      </c>
      <c r="F506" s="5">
        <v>0</v>
      </c>
      <c r="G506" s="5">
        <v>0</v>
      </c>
      <c r="H506" s="5">
        <v>1</v>
      </c>
      <c r="I506" s="5">
        <v>0</v>
      </c>
      <c r="J506" s="5">
        <v>0</v>
      </c>
      <c r="K506">
        <f>J506+L506</f>
        <v>1</v>
      </c>
      <c r="L506" s="5">
        <v>1</v>
      </c>
      <c r="M506" s="5">
        <v>0</v>
      </c>
      <c r="N506" s="5">
        <v>4</v>
      </c>
      <c r="O506" s="3" t="e">
        <f>N506/J506</f>
        <v>#DIV/0!</v>
      </c>
      <c r="P506" s="5">
        <v>0</v>
      </c>
      <c r="Q506" s="5">
        <v>0</v>
      </c>
      <c r="R506" s="35" t="s">
        <v>1269</v>
      </c>
      <c r="S506" s="35">
        <v>1</v>
      </c>
      <c r="T506" s="35">
        <v>0</v>
      </c>
      <c r="U506" s="35">
        <v>0</v>
      </c>
      <c r="V506" s="35">
        <v>8</v>
      </c>
      <c r="W506">
        <v>8</v>
      </c>
      <c r="X506">
        <v>0</v>
      </c>
      <c r="Y506">
        <v>0</v>
      </c>
      <c r="Z506" s="35" t="s">
        <v>1451</v>
      </c>
      <c r="AA506" s="35">
        <v>0</v>
      </c>
      <c r="AB506" s="35">
        <v>0</v>
      </c>
      <c r="AC506" s="40">
        <v>0</v>
      </c>
    </row>
    <row r="507" spans="1:29" x14ac:dyDescent="0.35">
      <c r="A507" s="1" t="s">
        <v>590</v>
      </c>
      <c r="B507" s="1" t="s">
        <v>591</v>
      </c>
      <c r="C507">
        <f>D507+E507+F507+G507+H507+I507</f>
        <v>61</v>
      </c>
      <c r="D507" s="2">
        <v>26</v>
      </c>
      <c r="E507" s="2">
        <v>30</v>
      </c>
      <c r="F507" s="2">
        <v>1</v>
      </c>
      <c r="G507" s="2">
        <v>1</v>
      </c>
      <c r="H507" s="2">
        <v>3</v>
      </c>
      <c r="I507" s="2">
        <v>0</v>
      </c>
      <c r="J507" s="2">
        <v>27</v>
      </c>
      <c r="K507">
        <f>J507+L507</f>
        <v>45</v>
      </c>
      <c r="L507" s="2">
        <v>18</v>
      </c>
      <c r="M507" s="2">
        <v>18</v>
      </c>
      <c r="N507" s="2">
        <v>262</v>
      </c>
      <c r="O507" s="3">
        <f>N507/J507</f>
        <v>9.7037037037037042</v>
      </c>
      <c r="P507" s="2">
        <v>0</v>
      </c>
      <c r="Q507" s="2">
        <v>0</v>
      </c>
      <c r="R507" s="2">
        <v>43</v>
      </c>
      <c r="S507" s="2">
        <f>297.1+8</f>
        <v>305.10000000000002</v>
      </c>
      <c r="T507" s="2">
        <v>61</v>
      </c>
      <c r="U507" s="2">
        <v>45</v>
      </c>
      <c r="V507" s="2">
        <f>920+44</f>
        <v>964</v>
      </c>
      <c r="W507" s="3">
        <f>V507/S507</f>
        <v>3.159619796787938</v>
      </c>
      <c r="X507" s="3">
        <f>V507/U507</f>
        <v>21.422222222222221</v>
      </c>
      <c r="Y507" s="4">
        <f>S507*6/U507</f>
        <v>40.68</v>
      </c>
      <c r="Z507" s="2">
        <v>5</v>
      </c>
      <c r="AA507" s="2">
        <v>1</v>
      </c>
      <c r="AB507" s="2">
        <v>0</v>
      </c>
      <c r="AC507" s="2">
        <v>8</v>
      </c>
    </row>
    <row r="508" spans="1:29" x14ac:dyDescent="0.35">
      <c r="A508" s="1" t="s">
        <v>590</v>
      </c>
      <c r="B508" s="1" t="s">
        <v>592</v>
      </c>
      <c r="C508">
        <f>D508+E508+F508+G508+H508+I508</f>
        <v>15</v>
      </c>
      <c r="D508" s="2">
        <v>0</v>
      </c>
      <c r="E508" s="2">
        <v>1</v>
      </c>
      <c r="F508" s="2">
        <v>5</v>
      </c>
      <c r="G508" s="2">
        <v>8</v>
      </c>
      <c r="H508" s="2">
        <v>1</v>
      </c>
      <c r="I508" s="2">
        <v>0</v>
      </c>
      <c r="J508" s="2">
        <v>9</v>
      </c>
      <c r="K508">
        <f>J508+L508</f>
        <v>14</v>
      </c>
      <c r="L508" s="2">
        <v>5</v>
      </c>
      <c r="M508" s="2">
        <v>3</v>
      </c>
      <c r="N508" s="2">
        <v>269</v>
      </c>
      <c r="O508" s="3">
        <f>N508/J508</f>
        <v>29.888888888888889</v>
      </c>
      <c r="P508" s="2">
        <v>3</v>
      </c>
      <c r="Q508" s="2">
        <v>0</v>
      </c>
      <c r="R508" s="2">
        <v>52</v>
      </c>
      <c r="S508" s="2">
        <v>106</v>
      </c>
      <c r="T508" s="2">
        <v>24</v>
      </c>
      <c r="U508" s="2">
        <v>17</v>
      </c>
      <c r="V508" s="2">
        <v>275</v>
      </c>
      <c r="W508" s="3">
        <f>V508/S508</f>
        <v>2.5943396226415096</v>
      </c>
      <c r="X508" s="3">
        <f>V508/U508</f>
        <v>16.176470588235293</v>
      </c>
      <c r="Y508" s="4">
        <f>S508*6/U508</f>
        <v>37.411764705882355</v>
      </c>
      <c r="Z508" s="2">
        <v>2</v>
      </c>
      <c r="AA508" s="2">
        <v>0</v>
      </c>
      <c r="AB508" s="2">
        <v>0</v>
      </c>
      <c r="AC508" s="2">
        <v>8</v>
      </c>
    </row>
    <row r="509" spans="1:29" x14ac:dyDescent="0.35">
      <c r="A509" s="11" t="s">
        <v>1156</v>
      </c>
      <c r="B509" s="11" t="s">
        <v>1165</v>
      </c>
      <c r="C509">
        <f>D509+E509+F509+G509+H509+I509</f>
        <v>10</v>
      </c>
      <c r="D509" s="2">
        <v>0</v>
      </c>
      <c r="E509" s="2">
        <v>0</v>
      </c>
      <c r="F509" s="2">
        <v>0</v>
      </c>
      <c r="G509" s="2">
        <v>3</v>
      </c>
      <c r="H509" s="2">
        <v>7</v>
      </c>
      <c r="I509" s="2">
        <v>0</v>
      </c>
      <c r="J509" s="2">
        <v>9</v>
      </c>
      <c r="K509">
        <f>J509+L509</f>
        <v>9</v>
      </c>
      <c r="L509" s="2">
        <v>0</v>
      </c>
      <c r="M509" s="2">
        <v>1</v>
      </c>
      <c r="N509" s="2">
        <f>105+76</f>
        <v>181</v>
      </c>
      <c r="O509" s="3">
        <f>N509/J509</f>
        <v>20.111111111111111</v>
      </c>
      <c r="P509" s="2">
        <v>0</v>
      </c>
      <c r="Q509" s="2">
        <v>0</v>
      </c>
      <c r="R509" s="2">
        <v>39</v>
      </c>
      <c r="S509" s="35">
        <v>26</v>
      </c>
      <c r="T509" s="35">
        <v>0</v>
      </c>
      <c r="U509" s="35">
        <v>1</v>
      </c>
      <c r="V509" s="35">
        <v>123</v>
      </c>
      <c r="W509" s="3">
        <f>V509/S509</f>
        <v>4.7307692307692308</v>
      </c>
      <c r="X509" s="3">
        <f>V509/U509</f>
        <v>123</v>
      </c>
      <c r="Y509" s="3">
        <f>156/1</f>
        <v>156</v>
      </c>
      <c r="Z509" s="35" t="s">
        <v>1265</v>
      </c>
      <c r="AA509" s="45">
        <v>0</v>
      </c>
      <c r="AB509" s="45">
        <v>0</v>
      </c>
      <c r="AC509" s="2">
        <v>3</v>
      </c>
    </row>
    <row r="510" spans="1:29" x14ac:dyDescent="0.35">
      <c r="A510" s="35" t="s">
        <v>1156</v>
      </c>
      <c r="B510" s="35" t="s">
        <v>1157</v>
      </c>
      <c r="C510">
        <f>D510+E510+F510+G510+H510+I510</f>
        <v>7</v>
      </c>
      <c r="D510" s="5">
        <v>0</v>
      </c>
      <c r="E510" s="5">
        <v>0</v>
      </c>
      <c r="F510" s="5">
        <v>0</v>
      </c>
      <c r="G510" s="5">
        <v>6</v>
      </c>
      <c r="H510" s="5">
        <v>1</v>
      </c>
      <c r="I510" s="5">
        <v>0</v>
      </c>
      <c r="J510" s="5">
        <v>5</v>
      </c>
      <c r="K510">
        <f>J510+L510</f>
        <v>5</v>
      </c>
      <c r="L510" s="5">
        <v>0</v>
      </c>
      <c r="M510" s="5">
        <v>0</v>
      </c>
      <c r="N510" s="5">
        <v>11</v>
      </c>
      <c r="O510" s="3">
        <f>N510/J510</f>
        <v>2.2000000000000002</v>
      </c>
      <c r="P510" s="5">
        <v>0</v>
      </c>
      <c r="Q510" s="5">
        <v>0</v>
      </c>
      <c r="R510" s="5">
        <v>5</v>
      </c>
      <c r="S510" s="35">
        <v>36</v>
      </c>
      <c r="T510" s="35">
        <v>3</v>
      </c>
      <c r="U510" s="35">
        <v>6</v>
      </c>
      <c r="V510" s="35">
        <f>147+45</f>
        <v>192</v>
      </c>
      <c r="W510">
        <f>147/28</f>
        <v>5.25</v>
      </c>
      <c r="X510" s="3">
        <v>29.4</v>
      </c>
      <c r="Y510">
        <f>28*6/U510</f>
        <v>28</v>
      </c>
      <c r="Z510" s="35" t="s">
        <v>1158</v>
      </c>
      <c r="AA510" s="35">
        <v>0</v>
      </c>
      <c r="AB510" s="5">
        <v>0</v>
      </c>
      <c r="AC510" s="5">
        <v>2</v>
      </c>
    </row>
    <row r="511" spans="1:29" x14ac:dyDescent="0.35">
      <c r="A511" s="34" t="s">
        <v>593</v>
      </c>
      <c r="B511" s="34" t="s">
        <v>594</v>
      </c>
      <c r="C511">
        <f>D511+E511+F511+G511+H511+I511</f>
        <v>2</v>
      </c>
      <c r="D511" s="5">
        <v>0</v>
      </c>
      <c r="E511" s="5">
        <v>0</v>
      </c>
      <c r="F511" s="5">
        <v>2</v>
      </c>
      <c r="G511" s="5">
        <v>0</v>
      </c>
      <c r="H511" s="5">
        <v>0</v>
      </c>
      <c r="I511" s="5">
        <v>0</v>
      </c>
      <c r="J511" s="5">
        <v>0</v>
      </c>
      <c r="K511">
        <f>J511+L511</f>
        <v>0</v>
      </c>
      <c r="L511" s="5">
        <v>0</v>
      </c>
      <c r="M511" s="5">
        <v>2</v>
      </c>
      <c r="N511" s="5">
        <v>0</v>
      </c>
      <c r="O511" s="3" t="e">
        <f>N511/J511</f>
        <v>#DIV/0!</v>
      </c>
      <c r="P511" s="5">
        <v>0</v>
      </c>
      <c r="Q511" s="5">
        <v>0</v>
      </c>
      <c r="R511" s="5">
        <v>0</v>
      </c>
      <c r="S511" s="40">
        <v>7</v>
      </c>
      <c r="T511" s="40">
        <v>0</v>
      </c>
      <c r="U511" s="40">
        <v>0</v>
      </c>
      <c r="V511" s="40">
        <v>23</v>
      </c>
      <c r="W511" s="3">
        <f>V511/S511</f>
        <v>3.2857142857142856</v>
      </c>
      <c r="X511" s="3" t="e">
        <f>V511/U511</f>
        <v>#DIV/0!</v>
      </c>
      <c r="Y511" s="4" t="e">
        <f>S511*6/U511</f>
        <v>#DIV/0!</v>
      </c>
      <c r="Z511" s="40">
        <v>0</v>
      </c>
      <c r="AA511" s="40">
        <v>0</v>
      </c>
      <c r="AB511" s="5">
        <v>0</v>
      </c>
      <c r="AC511" s="5">
        <v>0</v>
      </c>
    </row>
    <row r="512" spans="1:29" x14ac:dyDescent="0.35">
      <c r="A512" s="1" t="s">
        <v>595</v>
      </c>
      <c r="B512" s="1" t="s">
        <v>360</v>
      </c>
      <c r="C512">
        <f>D512+E512+F512+G512+H512+I512</f>
        <v>1</v>
      </c>
      <c r="D512" s="2">
        <v>0</v>
      </c>
      <c r="E512" s="2">
        <v>0</v>
      </c>
      <c r="F512" s="2">
        <v>1</v>
      </c>
      <c r="G512" s="2">
        <v>0</v>
      </c>
      <c r="H512" s="2">
        <v>0</v>
      </c>
      <c r="I512" s="2">
        <v>0</v>
      </c>
      <c r="J512" s="2">
        <v>0</v>
      </c>
      <c r="K512">
        <f>J512+L512</f>
        <v>1</v>
      </c>
      <c r="L512" s="2">
        <v>1</v>
      </c>
      <c r="M512" s="2">
        <v>0</v>
      </c>
      <c r="N512" s="2">
        <v>0</v>
      </c>
      <c r="O512" s="3" t="e">
        <f>N512/J512</f>
        <v>#DIV/0!</v>
      </c>
      <c r="P512" s="2">
        <v>0</v>
      </c>
      <c r="Q512" s="2">
        <v>0</v>
      </c>
      <c r="R512" s="2">
        <v>0</v>
      </c>
      <c r="S512" s="2">
        <v>1</v>
      </c>
      <c r="T512" s="2">
        <v>0</v>
      </c>
      <c r="U512" s="2">
        <v>0</v>
      </c>
      <c r="V512" s="2">
        <v>11</v>
      </c>
      <c r="W512" s="3">
        <f>V512/S512</f>
        <v>11</v>
      </c>
      <c r="X512" s="3" t="e">
        <f>V512/U512</f>
        <v>#DIV/0!</v>
      </c>
      <c r="Y512" s="4" t="e">
        <f>S512*6/U512</f>
        <v>#DIV/0!</v>
      </c>
      <c r="Z512" s="2">
        <v>0</v>
      </c>
      <c r="AA512" s="2">
        <v>0</v>
      </c>
      <c r="AB512" s="2">
        <v>0</v>
      </c>
      <c r="AC512" s="2">
        <v>0</v>
      </c>
    </row>
    <row r="513" spans="1:29" x14ac:dyDescent="0.35">
      <c r="A513" s="1" t="s">
        <v>596</v>
      </c>
      <c r="B513" s="1" t="s">
        <v>597</v>
      </c>
      <c r="C513">
        <f>D513+E513+F513+G513+H513+I513</f>
        <v>16</v>
      </c>
      <c r="D513" s="2">
        <v>0</v>
      </c>
      <c r="E513" s="2">
        <v>0</v>
      </c>
      <c r="F513" s="2">
        <v>6</v>
      </c>
      <c r="G513" s="2">
        <v>3</v>
      </c>
      <c r="H513" s="2">
        <v>7</v>
      </c>
      <c r="I513" s="2">
        <v>0</v>
      </c>
      <c r="J513" s="2">
        <v>7</v>
      </c>
      <c r="K513">
        <f>J513+L513</f>
        <v>11</v>
      </c>
      <c r="L513" s="2">
        <v>4</v>
      </c>
      <c r="M513" s="2">
        <v>5</v>
      </c>
      <c r="N513" s="2">
        <v>75</v>
      </c>
      <c r="O513" s="3">
        <f>N513/J513</f>
        <v>10.714285714285714</v>
      </c>
      <c r="P513" s="2">
        <v>0</v>
      </c>
      <c r="Q513" s="2">
        <v>0</v>
      </c>
      <c r="R513" s="2">
        <v>21</v>
      </c>
      <c r="S513" s="2">
        <v>81</v>
      </c>
      <c r="T513" s="2">
        <v>13</v>
      </c>
      <c r="U513" s="2">
        <v>13</v>
      </c>
      <c r="V513" s="2">
        <v>286</v>
      </c>
      <c r="W513" s="3">
        <f>V513/S513</f>
        <v>3.5308641975308643</v>
      </c>
      <c r="X513" s="3">
        <f>V513/U513</f>
        <v>22</v>
      </c>
      <c r="Y513" s="4">
        <f>S513*6/U513</f>
        <v>37.384615384615387</v>
      </c>
      <c r="Z513" s="2">
        <v>3</v>
      </c>
      <c r="AA513" s="2">
        <v>0</v>
      </c>
      <c r="AB513" s="2">
        <v>0</v>
      </c>
      <c r="AC513" s="2">
        <v>1</v>
      </c>
    </row>
    <row r="514" spans="1:29" x14ac:dyDescent="0.35">
      <c r="A514" s="1" t="s">
        <v>598</v>
      </c>
      <c r="B514" s="1" t="s">
        <v>183</v>
      </c>
      <c r="C514">
        <f>D514+E514+F514+G514+H514+I514</f>
        <v>43</v>
      </c>
      <c r="D514" s="2">
        <v>5</v>
      </c>
      <c r="E514" s="2">
        <v>3</v>
      </c>
      <c r="F514" s="2">
        <v>14</v>
      </c>
      <c r="G514" s="2">
        <v>0</v>
      </c>
      <c r="H514" s="2">
        <v>21</v>
      </c>
      <c r="I514" s="2">
        <v>0</v>
      </c>
      <c r="J514" s="2">
        <v>33</v>
      </c>
      <c r="K514">
        <f>J514+L514</f>
        <v>39</v>
      </c>
      <c r="L514" s="2">
        <v>6</v>
      </c>
      <c r="M514" s="2">
        <v>13</v>
      </c>
      <c r="N514" s="2">
        <v>320</v>
      </c>
      <c r="O514" s="3">
        <f>N514/J514</f>
        <v>9.6969696969696972</v>
      </c>
      <c r="P514" s="2">
        <v>1</v>
      </c>
      <c r="Q514" s="2">
        <v>0</v>
      </c>
      <c r="R514" s="2">
        <v>65</v>
      </c>
      <c r="S514" s="2">
        <f>238.2+8</f>
        <v>246.2</v>
      </c>
      <c r="T514" s="2">
        <v>36</v>
      </c>
      <c r="U514" s="2">
        <v>27</v>
      </c>
      <c r="V514" s="2">
        <v>988</v>
      </c>
      <c r="W514" s="3">
        <f>V514/S514</f>
        <v>4.0129975629569454</v>
      </c>
      <c r="X514" s="3">
        <f>V514/U514</f>
        <v>36.592592592592595</v>
      </c>
      <c r="Y514" s="4">
        <f>S514*6/U514</f>
        <v>54.711111111111101</v>
      </c>
      <c r="Z514" s="2">
        <v>3</v>
      </c>
      <c r="AA514" s="2">
        <v>0</v>
      </c>
      <c r="AB514" s="2">
        <v>0</v>
      </c>
      <c r="AC514" s="2">
        <v>8</v>
      </c>
    </row>
    <row r="515" spans="1:29" x14ac:dyDescent="0.35">
      <c r="A515" s="1" t="s">
        <v>599</v>
      </c>
      <c r="B515" s="1" t="s">
        <v>600</v>
      </c>
      <c r="C515">
        <f>D515+E515+F515+G515+H515+I515</f>
        <v>1</v>
      </c>
      <c r="D515" s="2">
        <v>0</v>
      </c>
      <c r="E515" s="2">
        <v>0</v>
      </c>
      <c r="F515" s="2">
        <v>1</v>
      </c>
      <c r="G515" s="2">
        <v>0</v>
      </c>
      <c r="H515" s="2">
        <v>0</v>
      </c>
      <c r="I515" s="2">
        <v>0</v>
      </c>
      <c r="J515" s="2">
        <v>0</v>
      </c>
      <c r="K515">
        <f>J515+L515</f>
        <v>0</v>
      </c>
      <c r="L515" s="2">
        <v>0</v>
      </c>
      <c r="M515" s="2">
        <v>1</v>
      </c>
      <c r="N515" s="2">
        <v>0</v>
      </c>
      <c r="O515" s="3" t="e">
        <f>N515/J515</f>
        <v>#DIV/0!</v>
      </c>
      <c r="P515" s="2">
        <v>0</v>
      </c>
      <c r="Q515" s="2">
        <v>0</v>
      </c>
      <c r="R515" s="2">
        <v>0</v>
      </c>
      <c r="S515" s="2">
        <v>2</v>
      </c>
      <c r="T515" s="2">
        <v>0</v>
      </c>
      <c r="U515" s="2">
        <v>0</v>
      </c>
      <c r="V515" s="2">
        <v>23</v>
      </c>
      <c r="W515" s="3">
        <f>V515/S515</f>
        <v>11.5</v>
      </c>
      <c r="X515" s="3" t="e">
        <f>V515/U515</f>
        <v>#DIV/0!</v>
      </c>
      <c r="Y515" s="4" t="e">
        <f>S515*6/U515</f>
        <v>#DIV/0!</v>
      </c>
      <c r="Z515" s="2">
        <v>0</v>
      </c>
      <c r="AA515" s="2">
        <v>0</v>
      </c>
      <c r="AB515" s="2">
        <v>0</v>
      </c>
      <c r="AC515" s="2">
        <v>0</v>
      </c>
    </row>
    <row r="516" spans="1:29" x14ac:dyDescent="0.35">
      <c r="A516" s="1" t="s">
        <v>601</v>
      </c>
      <c r="B516" s="1" t="s">
        <v>149</v>
      </c>
      <c r="C516">
        <f>D516+E516+F516+G516+H516+I516</f>
        <v>24</v>
      </c>
      <c r="D516" s="2">
        <v>0</v>
      </c>
      <c r="E516" s="2">
        <v>0</v>
      </c>
      <c r="F516" s="2">
        <v>3</v>
      </c>
      <c r="G516" s="2">
        <v>10</v>
      </c>
      <c r="H516" s="2">
        <v>11</v>
      </c>
      <c r="I516" s="2">
        <v>0</v>
      </c>
      <c r="J516" s="2">
        <v>13</v>
      </c>
      <c r="K516">
        <f>J516+L516</f>
        <v>17</v>
      </c>
      <c r="L516" s="2">
        <v>4</v>
      </c>
      <c r="M516" s="2">
        <v>10</v>
      </c>
      <c r="N516" s="2">
        <v>151</v>
      </c>
      <c r="O516" s="3">
        <f>N516/J516</f>
        <v>11.615384615384615</v>
      </c>
      <c r="P516" s="2">
        <v>0</v>
      </c>
      <c r="Q516" s="2">
        <v>0</v>
      </c>
      <c r="R516" s="2">
        <v>31</v>
      </c>
      <c r="S516" s="2">
        <v>335</v>
      </c>
      <c r="T516" s="2">
        <v>74</v>
      </c>
      <c r="U516" s="2">
        <v>51</v>
      </c>
      <c r="V516" s="2">
        <v>899</v>
      </c>
      <c r="W516" s="3">
        <f>V516/S516</f>
        <v>2.6835820895522389</v>
      </c>
      <c r="X516" s="3">
        <f>V516/U516</f>
        <v>17.627450980392158</v>
      </c>
      <c r="Y516" s="4">
        <f>S516*6/U516</f>
        <v>39.411764705882355</v>
      </c>
      <c r="Z516" s="2">
        <v>5</v>
      </c>
      <c r="AA516" s="2">
        <v>2</v>
      </c>
      <c r="AB516" s="2">
        <v>0</v>
      </c>
      <c r="AC516" s="2">
        <v>3</v>
      </c>
    </row>
    <row r="517" spans="1:29" x14ac:dyDescent="0.35">
      <c r="A517" s="1" t="s">
        <v>602</v>
      </c>
      <c r="B517" s="1" t="s">
        <v>603</v>
      </c>
      <c r="C517">
        <f>D517+E517+F517+G517+H517+I517</f>
        <v>5</v>
      </c>
      <c r="D517" s="2">
        <v>0</v>
      </c>
      <c r="E517" s="2">
        <v>2</v>
      </c>
      <c r="F517" s="2">
        <v>2</v>
      </c>
      <c r="G517" s="2">
        <v>1</v>
      </c>
      <c r="H517" s="2">
        <v>0</v>
      </c>
      <c r="I517" s="2">
        <v>0</v>
      </c>
      <c r="J517" s="2">
        <v>5</v>
      </c>
      <c r="K517">
        <f>J517+L517</f>
        <v>5</v>
      </c>
      <c r="L517" s="2">
        <v>0</v>
      </c>
      <c r="M517" s="2">
        <v>0</v>
      </c>
      <c r="N517" s="2">
        <v>83</v>
      </c>
      <c r="O517" s="3">
        <f>N517/J517</f>
        <v>16.600000000000001</v>
      </c>
      <c r="P517" s="2">
        <v>0</v>
      </c>
      <c r="Q517" s="2">
        <v>0</v>
      </c>
      <c r="R517" s="2">
        <v>48</v>
      </c>
      <c r="S517" s="2">
        <v>9</v>
      </c>
      <c r="T517" s="2">
        <v>0</v>
      </c>
      <c r="U517" s="2">
        <v>1</v>
      </c>
      <c r="V517" s="2">
        <v>82</v>
      </c>
      <c r="W517" s="3">
        <f>V517/S517</f>
        <v>9.1111111111111107</v>
      </c>
      <c r="X517" s="3">
        <f>V517/U517</f>
        <v>82</v>
      </c>
      <c r="Y517" s="4">
        <f>S517*6/U517</f>
        <v>54</v>
      </c>
      <c r="Z517" s="2">
        <v>1</v>
      </c>
      <c r="AA517" s="2">
        <v>0</v>
      </c>
      <c r="AB517" s="2">
        <v>0</v>
      </c>
      <c r="AC517" s="2">
        <v>1</v>
      </c>
    </row>
    <row r="518" spans="1:29" x14ac:dyDescent="0.35">
      <c r="A518" s="1" t="s">
        <v>604</v>
      </c>
      <c r="B518" s="1" t="s">
        <v>134</v>
      </c>
      <c r="C518">
        <f>D518+E518+F518+G518+H518+I518</f>
        <v>10</v>
      </c>
      <c r="D518" s="2">
        <v>0</v>
      </c>
      <c r="E518" s="2">
        <v>2</v>
      </c>
      <c r="F518" s="2">
        <v>7</v>
      </c>
      <c r="G518" s="2">
        <v>0</v>
      </c>
      <c r="H518" s="2">
        <v>0</v>
      </c>
      <c r="I518" s="2">
        <v>1</v>
      </c>
      <c r="J518" s="2">
        <v>15</v>
      </c>
      <c r="K518">
        <f>J518+L518</f>
        <v>17</v>
      </c>
      <c r="L518" s="2">
        <v>2</v>
      </c>
      <c r="M518" s="2">
        <v>2</v>
      </c>
      <c r="N518" s="2">
        <v>510</v>
      </c>
      <c r="O518" s="3">
        <f>N518/J518</f>
        <v>34</v>
      </c>
      <c r="P518" s="2">
        <v>2</v>
      </c>
      <c r="Q518" s="2">
        <v>1</v>
      </c>
      <c r="R518" s="2">
        <v>108</v>
      </c>
      <c r="S518" s="2">
        <v>119</v>
      </c>
      <c r="T518" s="2">
        <v>25</v>
      </c>
      <c r="U518" s="2">
        <v>12</v>
      </c>
      <c r="V518" s="2">
        <v>350</v>
      </c>
      <c r="W518" s="3">
        <f>V518/S518</f>
        <v>2.9411764705882355</v>
      </c>
      <c r="X518" s="3">
        <f>V518/U518</f>
        <v>29.166666666666668</v>
      </c>
      <c r="Y518" s="4">
        <f>S518*6/U518</f>
        <v>59.5</v>
      </c>
      <c r="Z518" s="2">
        <v>4</v>
      </c>
      <c r="AA518" s="2">
        <v>0</v>
      </c>
      <c r="AB518" s="2">
        <v>0</v>
      </c>
      <c r="AC518" s="2">
        <v>10</v>
      </c>
    </row>
    <row r="519" spans="1:29" x14ac:dyDescent="0.35">
      <c r="A519" s="1" t="s">
        <v>604</v>
      </c>
      <c r="B519" s="1" t="s">
        <v>240</v>
      </c>
      <c r="C519">
        <f>D519+E519+F519+G519+H519+I519</f>
        <v>3</v>
      </c>
      <c r="D519" s="2">
        <v>0</v>
      </c>
      <c r="E519" s="2">
        <v>0</v>
      </c>
      <c r="F519" s="2">
        <v>0</v>
      </c>
      <c r="G519" s="2">
        <v>0</v>
      </c>
      <c r="H519" s="2">
        <v>2</v>
      </c>
      <c r="I519" s="2">
        <v>1</v>
      </c>
      <c r="J519" s="2">
        <v>1</v>
      </c>
      <c r="K519">
        <f>J519+L519</f>
        <v>1</v>
      </c>
      <c r="L519" s="2">
        <v>0</v>
      </c>
      <c r="M519" s="2">
        <v>2</v>
      </c>
      <c r="N519" s="2">
        <v>2</v>
      </c>
      <c r="O519" s="3">
        <f>N519/J519</f>
        <v>2</v>
      </c>
      <c r="P519" s="2">
        <v>0</v>
      </c>
      <c r="Q519" s="2">
        <v>0</v>
      </c>
      <c r="R519" s="2">
        <v>2</v>
      </c>
      <c r="S519" s="2">
        <v>0</v>
      </c>
      <c r="T519" s="2">
        <v>0</v>
      </c>
      <c r="U519" s="2">
        <v>0</v>
      </c>
      <c r="V519" s="2">
        <v>0</v>
      </c>
      <c r="W519" s="3" t="e">
        <f>V519/S519</f>
        <v>#DIV/0!</v>
      </c>
      <c r="X519" s="3" t="e">
        <f>V519/U519</f>
        <v>#DIV/0!</v>
      </c>
      <c r="Y519" s="4" t="e">
        <f>S519*6/U519</f>
        <v>#DIV/0!</v>
      </c>
      <c r="Z519" s="2">
        <v>0</v>
      </c>
      <c r="AA519" s="2">
        <v>0</v>
      </c>
      <c r="AB519" s="2">
        <v>0</v>
      </c>
      <c r="AC519" s="2">
        <v>0</v>
      </c>
    </row>
    <row r="520" spans="1:29" x14ac:dyDescent="0.35">
      <c r="A520" s="1" t="s">
        <v>605</v>
      </c>
      <c r="B520" s="1" t="s">
        <v>606</v>
      </c>
      <c r="C520">
        <f>D520+E520+F520+G520+H520+I520</f>
        <v>8</v>
      </c>
      <c r="D520" s="2">
        <v>8</v>
      </c>
      <c r="E520" s="2">
        <v>0</v>
      </c>
      <c r="F520" s="2">
        <v>0</v>
      </c>
      <c r="G520" s="2">
        <v>0</v>
      </c>
      <c r="H520" s="2">
        <v>0</v>
      </c>
      <c r="I520" s="2">
        <v>0</v>
      </c>
      <c r="J520" s="2">
        <v>8</v>
      </c>
      <c r="K520">
        <f>J520+L520</f>
        <v>8</v>
      </c>
      <c r="L520" s="2">
        <v>0</v>
      </c>
      <c r="M520" s="2">
        <v>1</v>
      </c>
      <c r="N520" s="2">
        <v>196</v>
      </c>
      <c r="O520" s="3">
        <f>N520/J520</f>
        <v>24.5</v>
      </c>
      <c r="P520" s="2">
        <v>1</v>
      </c>
      <c r="Q520" s="2">
        <v>0</v>
      </c>
      <c r="R520" s="2">
        <v>82</v>
      </c>
      <c r="S520" s="2">
        <v>0</v>
      </c>
      <c r="T520" s="2">
        <v>0</v>
      </c>
      <c r="U520" s="2">
        <v>0</v>
      </c>
      <c r="V520" s="2">
        <v>0</v>
      </c>
      <c r="W520" s="3" t="e">
        <f>V520/S520</f>
        <v>#DIV/0!</v>
      </c>
      <c r="X520" s="3" t="e">
        <f>V520/U520</f>
        <v>#DIV/0!</v>
      </c>
      <c r="Y520" s="4" t="e">
        <f>S520*6/U520</f>
        <v>#DIV/0!</v>
      </c>
      <c r="Z520" s="2">
        <v>0</v>
      </c>
      <c r="AA520" s="2">
        <v>0</v>
      </c>
      <c r="AB520" s="2">
        <v>0</v>
      </c>
      <c r="AC520" s="2">
        <v>2</v>
      </c>
    </row>
    <row r="521" spans="1:29" x14ac:dyDescent="0.35">
      <c r="A521" s="1" t="s">
        <v>605</v>
      </c>
      <c r="B521" s="1" t="s">
        <v>77</v>
      </c>
      <c r="C521">
        <f>D521+E521+F521+G521+H521+I521</f>
        <v>8</v>
      </c>
      <c r="D521" s="2">
        <v>0</v>
      </c>
      <c r="E521" s="2">
        <v>0</v>
      </c>
      <c r="F521" s="2">
        <v>0</v>
      </c>
      <c r="G521" s="2">
        <v>0</v>
      </c>
      <c r="H521" s="2">
        <v>0</v>
      </c>
      <c r="I521" s="2">
        <v>8</v>
      </c>
      <c r="J521" s="2">
        <v>4</v>
      </c>
      <c r="K521">
        <f>J521+L521</f>
        <v>4</v>
      </c>
      <c r="L521" s="2">
        <v>0</v>
      </c>
      <c r="M521" s="2">
        <v>4</v>
      </c>
      <c r="N521" s="2">
        <v>15</v>
      </c>
      <c r="O521" s="3">
        <f>N521/J521</f>
        <v>3.75</v>
      </c>
      <c r="P521" s="2">
        <v>0</v>
      </c>
      <c r="Q521" s="2">
        <v>0</v>
      </c>
      <c r="R521" s="2">
        <v>12</v>
      </c>
      <c r="S521" s="2">
        <v>2</v>
      </c>
      <c r="T521" s="2">
        <v>0</v>
      </c>
      <c r="U521" s="2">
        <v>2</v>
      </c>
      <c r="V521" s="2">
        <v>6</v>
      </c>
      <c r="W521" s="3">
        <f>V521/S521</f>
        <v>3</v>
      </c>
      <c r="X521" s="3">
        <f>V521/U521</f>
        <v>3</v>
      </c>
      <c r="Y521" s="4">
        <f>S521*6/U521</f>
        <v>6</v>
      </c>
      <c r="Z521" s="2">
        <v>2</v>
      </c>
      <c r="AA521" s="2">
        <v>0</v>
      </c>
      <c r="AB521" s="2">
        <v>0</v>
      </c>
      <c r="AC521" s="2">
        <v>0</v>
      </c>
    </row>
    <row r="522" spans="1:29" x14ac:dyDescent="0.35">
      <c r="A522" s="15" t="s">
        <v>607</v>
      </c>
      <c r="B522" s="15" t="s">
        <v>353</v>
      </c>
      <c r="C522" s="18">
        <f>D522+E522+F522+G522+H522+I522</f>
        <v>96</v>
      </c>
      <c r="D522" s="16">
        <v>0</v>
      </c>
      <c r="E522" s="16">
        <v>50</v>
      </c>
      <c r="F522" s="16">
        <v>16</v>
      </c>
      <c r="G522" s="16">
        <v>28</v>
      </c>
      <c r="H522" s="16">
        <v>1</v>
      </c>
      <c r="I522" s="16">
        <v>1</v>
      </c>
      <c r="J522" s="16">
        <v>102</v>
      </c>
      <c r="K522" s="18">
        <f>J522+L522</f>
        <v>110</v>
      </c>
      <c r="L522" s="16">
        <v>8</v>
      </c>
      <c r="M522" s="16">
        <v>6</v>
      </c>
      <c r="N522" s="16">
        <f>2424+189</f>
        <v>2613</v>
      </c>
      <c r="O522" s="19">
        <f>N522/J522</f>
        <v>25.617647058823529</v>
      </c>
      <c r="P522" s="16">
        <v>15</v>
      </c>
      <c r="Q522" s="16">
        <v>1</v>
      </c>
      <c r="R522" s="16">
        <v>102</v>
      </c>
      <c r="S522" s="16">
        <v>52</v>
      </c>
      <c r="T522" s="16">
        <v>14</v>
      </c>
      <c r="U522" s="16">
        <v>7</v>
      </c>
      <c r="V522" s="16">
        <f>161+57</f>
        <v>218</v>
      </c>
      <c r="W522" s="19">
        <f>V522/S522</f>
        <v>4.1923076923076925</v>
      </c>
      <c r="X522" s="19">
        <f>V522/U522</f>
        <v>31.142857142857142</v>
      </c>
      <c r="Y522" s="20">
        <f>S522*6/U522</f>
        <v>44.571428571428569</v>
      </c>
      <c r="Z522" s="16">
        <v>2</v>
      </c>
      <c r="AA522" s="16">
        <v>0</v>
      </c>
      <c r="AB522" s="16">
        <v>0</v>
      </c>
      <c r="AC522" s="16">
        <v>45</v>
      </c>
    </row>
    <row r="523" spans="1:29" x14ac:dyDescent="0.35">
      <c r="A523" s="1" t="s">
        <v>607</v>
      </c>
      <c r="B523" s="1" t="s">
        <v>212</v>
      </c>
      <c r="C523">
        <f>D523+E523+F523+G523+H523+I523</f>
        <v>11</v>
      </c>
      <c r="D523" s="2">
        <v>0</v>
      </c>
      <c r="E523" s="2">
        <v>0</v>
      </c>
      <c r="F523" s="2">
        <v>0</v>
      </c>
      <c r="G523" s="2">
        <v>9</v>
      </c>
      <c r="H523" s="2">
        <v>2</v>
      </c>
      <c r="I523" s="2">
        <v>0</v>
      </c>
      <c r="J523" s="2">
        <v>6</v>
      </c>
      <c r="K523">
        <f>J523+L523</f>
        <v>8</v>
      </c>
      <c r="L523" s="2">
        <v>2</v>
      </c>
      <c r="M523" s="2">
        <v>5</v>
      </c>
      <c r="N523" s="2">
        <v>61</v>
      </c>
      <c r="O523" s="3">
        <f>N523/J523</f>
        <v>10.166666666666666</v>
      </c>
      <c r="P523" s="2">
        <v>0</v>
      </c>
      <c r="Q523" s="2">
        <v>0</v>
      </c>
      <c r="R523" s="2">
        <v>19</v>
      </c>
      <c r="S523" s="2">
        <v>92</v>
      </c>
      <c r="T523" s="2">
        <v>20</v>
      </c>
      <c r="U523" s="2">
        <v>15</v>
      </c>
      <c r="V523" s="2">
        <v>288</v>
      </c>
      <c r="W523" s="3">
        <f>V523/S523</f>
        <v>3.1304347826086958</v>
      </c>
      <c r="X523" s="3">
        <f>V523/U523</f>
        <v>19.2</v>
      </c>
      <c r="Y523" s="4">
        <f>S523*6/U523</f>
        <v>36.799999999999997</v>
      </c>
      <c r="Z523" s="2">
        <v>4</v>
      </c>
      <c r="AA523" s="2">
        <v>0</v>
      </c>
      <c r="AB523" s="2">
        <v>0</v>
      </c>
      <c r="AC523" s="2">
        <v>2</v>
      </c>
    </row>
    <row r="524" spans="1:29" x14ac:dyDescent="0.35">
      <c r="A524" s="1" t="s">
        <v>607</v>
      </c>
      <c r="B524" s="1" t="s">
        <v>172</v>
      </c>
      <c r="C524">
        <f>D524+E524+F524+G524+H524+I524</f>
        <v>2</v>
      </c>
      <c r="D524" s="2">
        <v>0</v>
      </c>
      <c r="E524" s="2">
        <v>0</v>
      </c>
      <c r="F524" s="2">
        <v>0</v>
      </c>
      <c r="G524" s="2">
        <v>0</v>
      </c>
      <c r="H524" s="2">
        <v>2</v>
      </c>
      <c r="I524" s="2">
        <v>0</v>
      </c>
      <c r="J524" s="2">
        <v>2</v>
      </c>
      <c r="K524">
        <f>J524+L524</f>
        <v>2</v>
      </c>
      <c r="L524" s="2">
        <v>0</v>
      </c>
      <c r="M524" s="2">
        <v>1</v>
      </c>
      <c r="N524" s="2">
        <v>19</v>
      </c>
      <c r="O524" s="3">
        <f>N524/J524</f>
        <v>9.5</v>
      </c>
      <c r="P524" s="2">
        <v>0</v>
      </c>
      <c r="Q524" s="2">
        <v>0</v>
      </c>
      <c r="R524" s="2">
        <v>18</v>
      </c>
      <c r="S524" s="2">
        <v>14</v>
      </c>
      <c r="T524" s="2">
        <v>0</v>
      </c>
      <c r="U524" s="2">
        <v>2</v>
      </c>
      <c r="V524" s="2">
        <v>77</v>
      </c>
      <c r="W524" s="3">
        <f>V524/S524</f>
        <v>5.5</v>
      </c>
      <c r="X524" s="3">
        <f>V524/U524</f>
        <v>38.5</v>
      </c>
      <c r="Y524" s="4">
        <f>S524*6/U524</f>
        <v>42</v>
      </c>
      <c r="Z524" s="2">
        <v>1</v>
      </c>
      <c r="AA524" s="2">
        <v>0</v>
      </c>
      <c r="AB524" s="2">
        <v>0</v>
      </c>
      <c r="AC524" s="2">
        <v>1</v>
      </c>
    </row>
    <row r="525" spans="1:29" x14ac:dyDescent="0.35">
      <c r="A525" s="11" t="s">
        <v>1251</v>
      </c>
      <c r="B525" s="11" t="s">
        <v>1252</v>
      </c>
      <c r="C525">
        <f>D525+E525+F525+G525+H525+I525</f>
        <v>1</v>
      </c>
      <c r="D525" s="2">
        <v>0</v>
      </c>
      <c r="E525" s="2">
        <v>0</v>
      </c>
      <c r="F525" s="2">
        <v>1</v>
      </c>
      <c r="G525" s="2">
        <v>0</v>
      </c>
      <c r="H525" s="2">
        <v>0</v>
      </c>
      <c r="I525" s="2">
        <v>0</v>
      </c>
      <c r="J525" s="2">
        <v>0</v>
      </c>
      <c r="K525">
        <f>J525+L525</f>
        <v>0</v>
      </c>
      <c r="L525" s="2">
        <v>0</v>
      </c>
      <c r="M525" s="2">
        <v>0</v>
      </c>
      <c r="N525" s="2">
        <v>0</v>
      </c>
      <c r="O525" s="3" t="e">
        <f>N525/J525</f>
        <v>#DIV/0!</v>
      </c>
      <c r="P525" s="11"/>
      <c r="Q525" s="11"/>
      <c r="R525" s="11"/>
      <c r="S525" s="11"/>
      <c r="T525" s="11"/>
      <c r="U525" s="11"/>
      <c r="V525" s="11"/>
      <c r="Z525" s="11"/>
      <c r="AA525" s="11"/>
      <c r="AB525" s="11"/>
      <c r="AC525" s="11"/>
    </row>
    <row r="526" spans="1:29" x14ac:dyDescent="0.35">
      <c r="A526" s="34" t="s">
        <v>608</v>
      </c>
      <c r="B526" s="34" t="s">
        <v>166</v>
      </c>
      <c r="C526">
        <f>D526+E526+F526+G526+H526+I526</f>
        <v>4</v>
      </c>
      <c r="D526" s="5">
        <v>0</v>
      </c>
      <c r="E526" s="5">
        <v>0</v>
      </c>
      <c r="F526" s="5">
        <v>0</v>
      </c>
      <c r="G526" s="5">
        <v>4</v>
      </c>
      <c r="H526" s="5">
        <v>0</v>
      </c>
      <c r="I526" s="5">
        <v>0</v>
      </c>
      <c r="J526" s="5">
        <v>1</v>
      </c>
      <c r="K526">
        <f>J526+L526</f>
        <v>2</v>
      </c>
      <c r="L526" s="5">
        <v>1</v>
      </c>
      <c r="M526" s="5">
        <v>2</v>
      </c>
      <c r="N526" s="5">
        <v>17</v>
      </c>
      <c r="O526" s="3">
        <f>N526/J526</f>
        <v>17</v>
      </c>
      <c r="P526" s="40">
        <v>0</v>
      </c>
      <c r="Q526" s="40">
        <v>0</v>
      </c>
      <c r="R526" s="40">
        <v>11</v>
      </c>
      <c r="S526" s="6">
        <v>0</v>
      </c>
      <c r="T526" s="6">
        <v>0</v>
      </c>
      <c r="U526" s="6">
        <v>0</v>
      </c>
      <c r="V526" s="6">
        <v>0</v>
      </c>
      <c r="W526" s="3" t="e">
        <f>V526/S526</f>
        <v>#DIV/0!</v>
      </c>
      <c r="X526" s="3" t="e">
        <f>V526/U526</f>
        <v>#DIV/0!</v>
      </c>
      <c r="Y526" s="4" t="e">
        <f>S526*6/U526</f>
        <v>#DIV/0!</v>
      </c>
      <c r="Z526" s="6">
        <v>0</v>
      </c>
      <c r="AA526" s="6">
        <v>0</v>
      </c>
      <c r="AB526" s="6">
        <v>0</v>
      </c>
      <c r="AC526" s="6">
        <v>2</v>
      </c>
    </row>
    <row r="527" spans="1:29" x14ac:dyDescent="0.35">
      <c r="A527" s="1" t="s">
        <v>609</v>
      </c>
      <c r="B527" s="1" t="s">
        <v>610</v>
      </c>
      <c r="C527">
        <f>D527+E527+F527+G527+H527+I527</f>
        <v>7</v>
      </c>
      <c r="D527" s="2">
        <v>0</v>
      </c>
      <c r="E527" s="2">
        <v>7</v>
      </c>
      <c r="F527" s="2">
        <v>0</v>
      </c>
      <c r="G527" s="2">
        <v>0</v>
      </c>
      <c r="H527" s="2">
        <v>0</v>
      </c>
      <c r="I527" s="2">
        <v>0</v>
      </c>
      <c r="J527" s="2">
        <v>7</v>
      </c>
      <c r="K527">
        <f>J527+L527</f>
        <v>7</v>
      </c>
      <c r="L527" s="2">
        <v>0</v>
      </c>
      <c r="M527" s="2">
        <v>0</v>
      </c>
      <c r="N527" s="2">
        <v>143</v>
      </c>
      <c r="O527" s="3">
        <f>N527/J527</f>
        <v>20.428571428571427</v>
      </c>
      <c r="P527" s="2">
        <v>1</v>
      </c>
      <c r="Q527" s="2">
        <v>0</v>
      </c>
      <c r="R527" s="2">
        <v>83</v>
      </c>
      <c r="S527" s="2">
        <v>0</v>
      </c>
      <c r="T527" s="2">
        <v>0</v>
      </c>
      <c r="U527" s="2">
        <v>0</v>
      </c>
      <c r="V527" s="2">
        <v>0</v>
      </c>
      <c r="W527" s="3" t="e">
        <f>V527/S527</f>
        <v>#DIV/0!</v>
      </c>
      <c r="X527" s="3" t="e">
        <f>V527/U527</f>
        <v>#DIV/0!</v>
      </c>
      <c r="Y527" s="4" t="e">
        <f>S527*6/U527</f>
        <v>#DIV/0!</v>
      </c>
      <c r="Z527" s="2">
        <v>0</v>
      </c>
      <c r="AA527" s="2">
        <v>0</v>
      </c>
      <c r="AB527" s="2">
        <v>0</v>
      </c>
      <c r="AC527" s="2">
        <v>0</v>
      </c>
    </row>
    <row r="528" spans="1:29" x14ac:dyDescent="0.35">
      <c r="A528" s="22" t="s">
        <v>611</v>
      </c>
      <c r="B528" s="22" t="s">
        <v>1421</v>
      </c>
      <c r="C528" s="18">
        <f>D528+E528+F528+G528+H528+I528</f>
        <v>17</v>
      </c>
      <c r="D528" s="16">
        <v>0</v>
      </c>
      <c r="E528" s="16">
        <v>0</v>
      </c>
      <c r="F528" s="16">
        <v>0</v>
      </c>
      <c r="G528" s="16">
        <v>3</v>
      </c>
      <c r="H528" s="16">
        <v>14</v>
      </c>
      <c r="I528" s="16">
        <v>0</v>
      </c>
      <c r="J528" s="16">
        <v>14</v>
      </c>
      <c r="K528" s="18">
        <f>J528+L528</f>
        <v>16</v>
      </c>
      <c r="L528" s="16">
        <v>2</v>
      </c>
      <c r="M528" s="16">
        <v>1</v>
      </c>
      <c r="N528" s="16">
        <f>15+362</f>
        <v>377</v>
      </c>
      <c r="O528" s="19">
        <f>N528/J528</f>
        <v>26.928571428571427</v>
      </c>
      <c r="P528" s="16">
        <v>1</v>
      </c>
      <c r="Q528" s="16">
        <v>1</v>
      </c>
      <c r="R528" s="22" t="s">
        <v>1432</v>
      </c>
      <c r="S528" s="22">
        <v>73</v>
      </c>
      <c r="T528" s="22">
        <v>3</v>
      </c>
      <c r="U528" s="22">
        <v>11</v>
      </c>
      <c r="V528" s="22">
        <f>72+334</f>
        <v>406</v>
      </c>
      <c r="W528" s="19">
        <f>V528/S528</f>
        <v>5.5616438356164384</v>
      </c>
      <c r="X528" s="19">
        <f>V528/U528</f>
        <v>36.909090909090907</v>
      </c>
      <c r="Y528" s="19">
        <f>S528*6/U528</f>
        <v>39.81818181818182</v>
      </c>
      <c r="Z528" s="22" t="s">
        <v>1433</v>
      </c>
      <c r="AA528" s="22">
        <v>0</v>
      </c>
      <c r="AB528" s="22">
        <v>0</v>
      </c>
      <c r="AC528" s="16">
        <v>3</v>
      </c>
    </row>
    <row r="529" spans="1:29" x14ac:dyDescent="0.35">
      <c r="A529" s="34" t="s">
        <v>611</v>
      </c>
      <c r="B529" s="34" t="s">
        <v>612</v>
      </c>
      <c r="C529">
        <f>D529+E529+F529+G529+H529+I529</f>
        <v>10</v>
      </c>
      <c r="D529" s="5">
        <v>0</v>
      </c>
      <c r="E529" s="5">
        <v>0</v>
      </c>
      <c r="F529" s="5">
        <v>6</v>
      </c>
      <c r="G529" s="5">
        <v>4</v>
      </c>
      <c r="H529" s="5">
        <v>0</v>
      </c>
      <c r="I529" s="5">
        <v>0</v>
      </c>
      <c r="J529" s="5">
        <v>12</v>
      </c>
      <c r="K529">
        <f>J529+L529</f>
        <v>12</v>
      </c>
      <c r="L529" s="5">
        <v>0</v>
      </c>
      <c r="M529" s="5">
        <v>1</v>
      </c>
      <c r="N529" s="5">
        <v>158</v>
      </c>
      <c r="O529" s="3">
        <f>N529/J529</f>
        <v>13.166666666666666</v>
      </c>
      <c r="P529" s="40">
        <v>0</v>
      </c>
      <c r="Q529" s="40">
        <v>0</v>
      </c>
      <c r="R529" s="40">
        <v>45</v>
      </c>
      <c r="S529" s="40">
        <v>54</v>
      </c>
      <c r="T529" s="40">
        <v>4</v>
      </c>
      <c r="U529" s="40">
        <v>11</v>
      </c>
      <c r="V529" s="40">
        <v>245</v>
      </c>
      <c r="W529" s="3">
        <f>V529/S529</f>
        <v>4.5370370370370372</v>
      </c>
      <c r="X529" s="3">
        <f>V529/U529</f>
        <v>22.272727272727273</v>
      </c>
      <c r="Y529" s="4">
        <f>S529*6/U529</f>
        <v>29.454545454545453</v>
      </c>
      <c r="Z529" s="40">
        <v>3</v>
      </c>
      <c r="AA529" s="40">
        <v>0</v>
      </c>
      <c r="AB529" s="40">
        <v>0</v>
      </c>
      <c r="AC529" s="40">
        <v>2</v>
      </c>
    </row>
    <row r="530" spans="1:29" x14ac:dyDescent="0.35">
      <c r="A530" s="1" t="s">
        <v>613</v>
      </c>
      <c r="B530" s="1" t="s">
        <v>614</v>
      </c>
      <c r="C530">
        <f>D530+E530+F530+G530+H530+I530</f>
        <v>22</v>
      </c>
      <c r="D530" s="2">
        <v>0</v>
      </c>
      <c r="E530" s="2">
        <v>13</v>
      </c>
      <c r="F530" s="2">
        <v>5</v>
      </c>
      <c r="G530" s="2">
        <v>2</v>
      </c>
      <c r="H530" s="2">
        <v>0</v>
      </c>
      <c r="I530" s="2">
        <v>2</v>
      </c>
      <c r="J530" s="2">
        <v>21</v>
      </c>
      <c r="K530">
        <f>J530+L530</f>
        <v>23</v>
      </c>
      <c r="L530" s="2">
        <v>2</v>
      </c>
      <c r="M530" s="2">
        <v>1</v>
      </c>
      <c r="N530" s="2">
        <v>335</v>
      </c>
      <c r="O530" s="3">
        <f>N530/J530</f>
        <v>15.952380952380953</v>
      </c>
      <c r="P530" s="2">
        <v>1</v>
      </c>
      <c r="Q530" s="2">
        <v>0</v>
      </c>
      <c r="R530" s="2">
        <v>71</v>
      </c>
      <c r="S530" s="2">
        <v>0</v>
      </c>
      <c r="T530" s="2">
        <v>0</v>
      </c>
      <c r="U530" s="2">
        <v>0</v>
      </c>
      <c r="V530" s="2">
        <v>0</v>
      </c>
      <c r="W530" s="3" t="e">
        <f>V530/S530</f>
        <v>#DIV/0!</v>
      </c>
      <c r="X530" s="3" t="e">
        <f>V530/U530</f>
        <v>#DIV/0!</v>
      </c>
      <c r="Y530" s="4" t="e">
        <f>S530*6/U530</f>
        <v>#DIV/0!</v>
      </c>
      <c r="Z530" s="2">
        <v>0</v>
      </c>
      <c r="AA530" s="2">
        <v>0</v>
      </c>
      <c r="AB530" s="2">
        <v>0</v>
      </c>
      <c r="AC530" s="2">
        <v>6</v>
      </c>
    </row>
    <row r="531" spans="1:29" x14ac:dyDescent="0.35">
      <c r="A531" s="37" t="s">
        <v>1277</v>
      </c>
      <c r="B531" s="37" t="s">
        <v>265</v>
      </c>
      <c r="C531" s="18">
        <f>D531+E531+F531+G531+H531+I531</f>
        <v>52</v>
      </c>
      <c r="D531" s="21">
        <v>0</v>
      </c>
      <c r="E531" s="21">
        <v>0</v>
      </c>
      <c r="F531" s="21">
        <v>27</v>
      </c>
      <c r="G531" s="21">
        <v>0</v>
      </c>
      <c r="H531" s="21">
        <v>14</v>
      </c>
      <c r="I531" s="21">
        <v>11</v>
      </c>
      <c r="J531" s="21">
        <v>8</v>
      </c>
      <c r="K531" s="18">
        <f>J531+L531</f>
        <v>22</v>
      </c>
      <c r="L531" s="21">
        <v>14</v>
      </c>
      <c r="M531" s="21">
        <v>32</v>
      </c>
      <c r="N531" s="21">
        <f>63+24</f>
        <v>87</v>
      </c>
      <c r="O531" s="19">
        <f>N531/J531</f>
        <v>10.875</v>
      </c>
      <c r="P531" s="39">
        <v>0</v>
      </c>
      <c r="Q531" s="39">
        <v>0</v>
      </c>
      <c r="R531" s="39" t="s">
        <v>1148</v>
      </c>
      <c r="S531" s="18">
        <f>236.1+120</f>
        <v>356.1</v>
      </c>
      <c r="T531" s="18">
        <v>64</v>
      </c>
      <c r="U531" s="18">
        <f>55+24</f>
        <v>79</v>
      </c>
      <c r="V531" s="18">
        <f>896+421</f>
        <v>1317</v>
      </c>
      <c r="W531" s="19">
        <f>V531/S531</f>
        <v>3.6983993260320132</v>
      </c>
      <c r="X531" s="19">
        <f>V531/U531</f>
        <v>16.670886075949365</v>
      </c>
      <c r="Y531" s="20">
        <f>S531*6/U531</f>
        <v>27.045569620253168</v>
      </c>
      <c r="Z531" s="18" t="s">
        <v>1406</v>
      </c>
      <c r="AA531" s="37">
        <v>1</v>
      </c>
      <c r="AB531" s="37">
        <v>0</v>
      </c>
      <c r="AC531" s="46">
        <v>11</v>
      </c>
    </row>
    <row r="532" spans="1:29" x14ac:dyDescent="0.35">
      <c r="A532" s="35" t="s">
        <v>1277</v>
      </c>
      <c r="B532" s="34" t="s">
        <v>351</v>
      </c>
      <c r="C532">
        <f>D532+E532+F532+G532+H532+I532</f>
        <v>1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1</v>
      </c>
      <c r="J532" s="5">
        <v>1</v>
      </c>
      <c r="K532">
        <f>J532+L532</f>
        <v>1</v>
      </c>
      <c r="L532" s="5">
        <v>0</v>
      </c>
      <c r="M532" s="5">
        <v>0</v>
      </c>
      <c r="N532" s="5">
        <v>6</v>
      </c>
      <c r="O532" s="3">
        <f>N532/J532</f>
        <v>6</v>
      </c>
      <c r="P532" s="40">
        <v>0</v>
      </c>
      <c r="Q532" s="40">
        <v>0</v>
      </c>
      <c r="R532" s="40">
        <v>6</v>
      </c>
      <c r="S532" s="35">
        <v>3</v>
      </c>
      <c r="T532" s="35">
        <v>0</v>
      </c>
      <c r="U532" s="35">
        <v>1</v>
      </c>
      <c r="V532" s="35">
        <v>21</v>
      </c>
      <c r="W532" s="3">
        <f>V532/S532</f>
        <v>7</v>
      </c>
      <c r="X532" s="3">
        <f>V532/U532</f>
        <v>21</v>
      </c>
      <c r="Y532" s="4">
        <v>18</v>
      </c>
      <c r="Z532" s="35" t="s">
        <v>1160</v>
      </c>
      <c r="AA532" s="45">
        <v>0</v>
      </c>
      <c r="AB532" s="45">
        <v>0</v>
      </c>
      <c r="AC532" s="40">
        <v>0</v>
      </c>
    </row>
    <row r="533" spans="1:29" x14ac:dyDescent="0.35">
      <c r="A533" s="1" t="s">
        <v>615</v>
      </c>
      <c r="B533" s="1" t="s">
        <v>172</v>
      </c>
      <c r="C533">
        <f>D533+E533+F533+G533+H533+I533</f>
        <v>1</v>
      </c>
      <c r="D533" s="2">
        <v>0</v>
      </c>
      <c r="E533" s="2">
        <v>1</v>
      </c>
      <c r="F533" s="2">
        <v>0</v>
      </c>
      <c r="G533" s="2">
        <v>0</v>
      </c>
      <c r="H533" s="2">
        <v>0</v>
      </c>
      <c r="I533" s="2">
        <v>0</v>
      </c>
      <c r="J533" s="2">
        <v>0</v>
      </c>
      <c r="K533">
        <f>J533+L533</f>
        <v>0</v>
      </c>
      <c r="L533" s="2">
        <v>0</v>
      </c>
      <c r="M533" s="2">
        <v>1</v>
      </c>
      <c r="N533" s="2">
        <v>0</v>
      </c>
      <c r="O533" s="3" t="e">
        <f>N533/J533</f>
        <v>#DIV/0!</v>
      </c>
      <c r="P533" s="2">
        <v>0</v>
      </c>
      <c r="Q533" s="2">
        <v>0</v>
      </c>
      <c r="R533" s="2">
        <v>0</v>
      </c>
      <c r="S533" s="2">
        <v>2</v>
      </c>
      <c r="T533" s="2">
        <v>0</v>
      </c>
      <c r="U533" s="2">
        <v>1</v>
      </c>
      <c r="V533" s="2">
        <v>7</v>
      </c>
      <c r="W533" s="3">
        <f>V533/S533</f>
        <v>3.5</v>
      </c>
      <c r="X533" s="3">
        <f>V533/U533</f>
        <v>7</v>
      </c>
      <c r="Y533" s="4">
        <f>S533*6/U533</f>
        <v>12</v>
      </c>
      <c r="Z533" s="2">
        <v>1</v>
      </c>
      <c r="AA533" s="2">
        <v>0</v>
      </c>
      <c r="AB533" s="2">
        <v>0</v>
      </c>
      <c r="AC533" s="2">
        <v>0</v>
      </c>
    </row>
    <row r="534" spans="1:29" x14ac:dyDescent="0.35">
      <c r="A534" s="1" t="s">
        <v>615</v>
      </c>
      <c r="B534" s="1" t="s">
        <v>193</v>
      </c>
      <c r="C534">
        <f>D534+E534+F534+G534+H534+I534</f>
        <v>1</v>
      </c>
      <c r="D534" s="2">
        <v>0</v>
      </c>
      <c r="E534" s="2">
        <v>0</v>
      </c>
      <c r="F534" s="2">
        <v>0</v>
      </c>
      <c r="G534" s="2">
        <v>1</v>
      </c>
      <c r="H534" s="2">
        <v>0</v>
      </c>
      <c r="I534" s="2">
        <v>0</v>
      </c>
      <c r="J534" s="2">
        <v>1</v>
      </c>
      <c r="K534">
        <f>J534+L534</f>
        <v>1</v>
      </c>
      <c r="L534" s="2">
        <v>0</v>
      </c>
      <c r="M534" s="2">
        <v>0</v>
      </c>
      <c r="N534" s="2">
        <v>0</v>
      </c>
      <c r="O534" s="3">
        <f>N534/J534</f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>
        <v>0</v>
      </c>
      <c r="V534" s="2">
        <v>0</v>
      </c>
      <c r="W534" s="3" t="e">
        <f>V534/S534</f>
        <v>#DIV/0!</v>
      </c>
      <c r="X534" s="3" t="e">
        <f>V534/U534</f>
        <v>#DIV/0!</v>
      </c>
      <c r="Y534" s="4" t="e">
        <f>S534*6/U534</f>
        <v>#DIV/0!</v>
      </c>
      <c r="Z534" s="2">
        <v>0</v>
      </c>
      <c r="AA534" s="2">
        <v>0</v>
      </c>
      <c r="AB534" s="2">
        <v>0</v>
      </c>
      <c r="AC534" s="2">
        <v>0</v>
      </c>
    </row>
    <row r="535" spans="1:29" x14ac:dyDescent="0.35">
      <c r="A535" s="37" t="s">
        <v>1368</v>
      </c>
      <c r="B535" s="37" t="s">
        <v>400</v>
      </c>
      <c r="C535" s="18">
        <f>D535+E535+F535+G535+H535+I535</f>
        <v>21</v>
      </c>
      <c r="D535" s="21">
        <v>0</v>
      </c>
      <c r="E535" s="21">
        <v>8</v>
      </c>
      <c r="F535" s="21">
        <v>4</v>
      </c>
      <c r="G535" s="21">
        <v>9</v>
      </c>
      <c r="H535" s="21">
        <v>0</v>
      </c>
      <c r="I535" s="21">
        <v>0</v>
      </c>
      <c r="J535" s="21">
        <v>15</v>
      </c>
      <c r="K535" s="18">
        <f>J535+L535</f>
        <v>19</v>
      </c>
      <c r="L535" s="21">
        <v>4</v>
      </c>
      <c r="M535" s="21">
        <v>3</v>
      </c>
      <c r="N535" s="21">
        <f>325+156</f>
        <v>481</v>
      </c>
      <c r="O535" s="19">
        <f>N535/J535</f>
        <v>32.06666666666667</v>
      </c>
      <c r="P535" s="39">
        <v>2</v>
      </c>
      <c r="Q535" s="39">
        <v>0</v>
      </c>
      <c r="R535" s="39" t="s">
        <v>1376</v>
      </c>
      <c r="S535" s="37">
        <v>10.3</v>
      </c>
      <c r="T535" s="37">
        <v>1</v>
      </c>
      <c r="U535" s="37">
        <v>1</v>
      </c>
      <c r="V535" s="37">
        <v>59</v>
      </c>
      <c r="W535" s="19">
        <f>V535/S535</f>
        <v>5.7281553398058245</v>
      </c>
      <c r="X535" s="19">
        <f>V535/U535</f>
        <v>59</v>
      </c>
      <c r="Y535" s="19">
        <f>S535*6/U535</f>
        <v>61.800000000000004</v>
      </c>
      <c r="Z535" s="37" t="s">
        <v>1414</v>
      </c>
      <c r="AA535" s="46">
        <v>0</v>
      </c>
      <c r="AB535" s="39">
        <v>0</v>
      </c>
      <c r="AC535" s="39">
        <v>18</v>
      </c>
    </row>
    <row r="536" spans="1:29" x14ac:dyDescent="0.35">
      <c r="A536" s="1" t="s">
        <v>1127</v>
      </c>
      <c r="B536" s="1" t="s">
        <v>146</v>
      </c>
      <c r="C536">
        <f>D536+E536+F536+G536+H536+I536</f>
        <v>1</v>
      </c>
      <c r="D536" s="2">
        <v>0</v>
      </c>
      <c r="E536" s="2">
        <v>1</v>
      </c>
      <c r="F536" s="2">
        <v>0</v>
      </c>
      <c r="G536" s="2">
        <v>0</v>
      </c>
      <c r="H536" s="2">
        <v>0</v>
      </c>
      <c r="I536" s="2">
        <v>0</v>
      </c>
      <c r="J536" s="2">
        <v>1</v>
      </c>
      <c r="K536">
        <f>J536+L536</f>
        <v>1</v>
      </c>
      <c r="L536" s="2">
        <v>0</v>
      </c>
      <c r="M536" s="2">
        <v>0</v>
      </c>
      <c r="N536" s="2">
        <v>2</v>
      </c>
      <c r="O536" s="3">
        <f>N536/J536</f>
        <v>2</v>
      </c>
      <c r="P536" s="2">
        <v>0</v>
      </c>
      <c r="Q536" s="2">
        <v>0</v>
      </c>
      <c r="R536" s="2">
        <v>2</v>
      </c>
      <c r="S536" s="11">
        <v>5</v>
      </c>
      <c r="T536" s="11">
        <v>0</v>
      </c>
      <c r="U536" s="11">
        <v>3</v>
      </c>
      <c r="V536" s="11">
        <v>33</v>
      </c>
      <c r="W536" s="3">
        <f>33/5</f>
        <v>6.6</v>
      </c>
      <c r="X536" s="3">
        <f>33/3</f>
        <v>11</v>
      </c>
      <c r="Y536" s="4">
        <f>30/3</f>
        <v>10</v>
      </c>
      <c r="Z536" s="11" t="s">
        <v>1128</v>
      </c>
      <c r="AA536" s="11">
        <v>0</v>
      </c>
      <c r="AB536" s="11">
        <v>0</v>
      </c>
      <c r="AC536" s="11">
        <v>0</v>
      </c>
    </row>
    <row r="537" spans="1:29" x14ac:dyDescent="0.35">
      <c r="A537" s="7" t="s">
        <v>616</v>
      </c>
      <c r="B537" s="7" t="s">
        <v>182</v>
      </c>
      <c r="C537">
        <f>D537+E537+F537+G537+H537+I537</f>
        <v>3</v>
      </c>
      <c r="D537" s="5">
        <v>2</v>
      </c>
      <c r="E537" s="5">
        <v>1</v>
      </c>
      <c r="F537" s="5">
        <v>0</v>
      </c>
      <c r="G537" s="5">
        <v>0</v>
      </c>
      <c r="H537" s="5">
        <v>0</v>
      </c>
      <c r="I537" s="5">
        <v>0</v>
      </c>
      <c r="J537" s="5">
        <v>1</v>
      </c>
      <c r="K537">
        <f>J537+L537</f>
        <v>2</v>
      </c>
      <c r="L537" s="5">
        <v>1</v>
      </c>
      <c r="M537" s="5">
        <v>1</v>
      </c>
      <c r="N537" s="5">
        <v>82</v>
      </c>
      <c r="O537" s="3">
        <f>N537/J537</f>
        <v>82</v>
      </c>
      <c r="P537" s="5">
        <v>0</v>
      </c>
      <c r="Q537" s="5">
        <v>0</v>
      </c>
      <c r="R537" s="5">
        <v>43</v>
      </c>
      <c r="S537" s="6">
        <v>24</v>
      </c>
      <c r="T537" s="6">
        <v>8</v>
      </c>
      <c r="U537" s="6">
        <v>1</v>
      </c>
      <c r="V537" s="6">
        <v>52</v>
      </c>
      <c r="W537" s="3">
        <f>V537/S537</f>
        <v>2.1666666666666665</v>
      </c>
      <c r="X537" s="3">
        <f>V537/U537</f>
        <v>52</v>
      </c>
      <c r="Y537" s="4">
        <f>S537*6/U537</f>
        <v>144</v>
      </c>
      <c r="Z537" s="6">
        <v>1</v>
      </c>
      <c r="AA537" s="6">
        <v>0</v>
      </c>
      <c r="AB537" s="40">
        <v>0</v>
      </c>
      <c r="AC537" s="40">
        <v>1</v>
      </c>
    </row>
    <row r="538" spans="1:29" x14ac:dyDescent="0.35">
      <c r="A538" s="1" t="s">
        <v>617</v>
      </c>
      <c r="B538" s="1" t="s">
        <v>172</v>
      </c>
      <c r="C538">
        <f>D538+E538+F538+G538+H538+I538</f>
        <v>13</v>
      </c>
      <c r="D538" s="2">
        <v>0</v>
      </c>
      <c r="E538" s="2">
        <v>0</v>
      </c>
      <c r="F538" s="2">
        <v>0</v>
      </c>
      <c r="G538" s="2">
        <v>0</v>
      </c>
      <c r="H538" s="2">
        <v>5</v>
      </c>
      <c r="I538" s="2">
        <v>8</v>
      </c>
      <c r="J538" s="2">
        <v>9</v>
      </c>
      <c r="K538">
        <f>J538+L538</f>
        <v>10</v>
      </c>
      <c r="L538" s="2">
        <v>1</v>
      </c>
      <c r="M538" s="2">
        <v>4</v>
      </c>
      <c r="N538" s="2">
        <v>72</v>
      </c>
      <c r="O538" s="3">
        <f>N538/J538</f>
        <v>8</v>
      </c>
      <c r="P538" s="2">
        <v>0</v>
      </c>
      <c r="Q538" s="2">
        <v>0</v>
      </c>
      <c r="R538" s="2">
        <v>21</v>
      </c>
      <c r="S538" s="2">
        <v>49</v>
      </c>
      <c r="T538" s="2">
        <v>6</v>
      </c>
      <c r="U538" s="2">
        <v>12</v>
      </c>
      <c r="V538" s="2">
        <v>269</v>
      </c>
      <c r="W538" s="3">
        <f>V538/S538</f>
        <v>5.4897959183673466</v>
      </c>
      <c r="X538" s="3">
        <f>V538/U538</f>
        <v>22.416666666666668</v>
      </c>
      <c r="Y538" s="4">
        <f>S538*6/U538</f>
        <v>24.5</v>
      </c>
      <c r="Z538" s="2">
        <v>4</v>
      </c>
      <c r="AA538" s="2">
        <v>0</v>
      </c>
      <c r="AB538" s="2">
        <v>0</v>
      </c>
      <c r="AC538" s="2">
        <v>4</v>
      </c>
    </row>
    <row r="539" spans="1:29" x14ac:dyDescent="0.35">
      <c r="A539" s="34" t="s">
        <v>618</v>
      </c>
      <c r="B539" s="34" t="s">
        <v>240</v>
      </c>
      <c r="C539">
        <f>D539+E539+F539+G539+H539+I539</f>
        <v>2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2</v>
      </c>
      <c r="J539" s="5">
        <v>1</v>
      </c>
      <c r="K539">
        <f>J539+L539</f>
        <v>1</v>
      </c>
      <c r="L539" s="5">
        <v>0</v>
      </c>
      <c r="M539" s="5">
        <v>1</v>
      </c>
      <c r="N539" s="5">
        <v>1</v>
      </c>
      <c r="O539" s="3">
        <f>N539/J539</f>
        <v>1</v>
      </c>
      <c r="P539" s="40">
        <v>0</v>
      </c>
      <c r="Q539" s="40">
        <v>0</v>
      </c>
      <c r="R539" s="40">
        <v>1</v>
      </c>
      <c r="S539" s="40">
        <v>0</v>
      </c>
      <c r="T539" s="40">
        <v>0</v>
      </c>
      <c r="U539" s="40">
        <v>0</v>
      </c>
      <c r="V539" s="40">
        <v>0</v>
      </c>
      <c r="W539" s="3" t="e">
        <f>V539/S539</f>
        <v>#DIV/0!</v>
      </c>
      <c r="X539" s="3" t="e">
        <f>V539/U539</f>
        <v>#DIV/0!</v>
      </c>
      <c r="Y539" s="4" t="e">
        <f>S539*6/U539</f>
        <v>#DIV/0!</v>
      </c>
      <c r="Z539" s="40">
        <v>0</v>
      </c>
      <c r="AA539" s="40">
        <v>0</v>
      </c>
      <c r="AB539" s="40">
        <v>0</v>
      </c>
      <c r="AC539" s="40">
        <v>0</v>
      </c>
    </row>
    <row r="540" spans="1:29" x14ac:dyDescent="0.35">
      <c r="A540" s="11" t="s">
        <v>1401</v>
      </c>
      <c r="B540" s="11" t="s">
        <v>190</v>
      </c>
      <c r="C540">
        <f>D540+E540+F540+G540+H540+I540</f>
        <v>8</v>
      </c>
      <c r="D540" s="2">
        <v>1</v>
      </c>
      <c r="E540" s="2">
        <v>7</v>
      </c>
      <c r="F540" s="2">
        <v>0</v>
      </c>
      <c r="G540" s="2">
        <v>0</v>
      </c>
      <c r="H540" s="2">
        <v>0</v>
      </c>
      <c r="I540" s="2">
        <v>0</v>
      </c>
      <c r="J540" s="2">
        <v>4</v>
      </c>
      <c r="K540">
        <f>J540+L540</f>
        <v>6</v>
      </c>
      <c r="L540" s="2">
        <v>2</v>
      </c>
      <c r="M540" s="2">
        <v>2</v>
      </c>
      <c r="N540" s="2">
        <v>254</v>
      </c>
      <c r="O540" s="3">
        <f>N540/J540</f>
        <v>63.5</v>
      </c>
      <c r="P540" s="2">
        <v>3</v>
      </c>
      <c r="Q540" s="2">
        <v>0</v>
      </c>
      <c r="R540" s="2" t="s">
        <v>1235</v>
      </c>
      <c r="S540" s="35">
        <v>3</v>
      </c>
      <c r="T540" s="35">
        <v>0</v>
      </c>
      <c r="U540" s="35">
        <v>1</v>
      </c>
      <c r="V540" s="35">
        <v>12</v>
      </c>
      <c r="W540" s="3">
        <f>V540/S540</f>
        <v>4</v>
      </c>
      <c r="X540" s="3">
        <f>V540/U540</f>
        <v>12</v>
      </c>
      <c r="Y540" s="3">
        <f>S540*6/U540</f>
        <v>18</v>
      </c>
      <c r="Z540" s="35" t="s">
        <v>1320</v>
      </c>
      <c r="AA540" s="35">
        <v>0</v>
      </c>
      <c r="AB540" s="35">
        <v>0</v>
      </c>
      <c r="AC540" s="35">
        <v>2</v>
      </c>
    </row>
    <row r="541" spans="1:29" x14ac:dyDescent="0.35">
      <c r="A541" s="15" t="s">
        <v>1197</v>
      </c>
      <c r="B541" s="26" t="s">
        <v>1264</v>
      </c>
      <c r="C541" s="18">
        <f>D541+E541+F541+G541+H541+I541</f>
        <v>29</v>
      </c>
      <c r="D541" s="21">
        <v>0</v>
      </c>
      <c r="E541" s="21">
        <v>0</v>
      </c>
      <c r="F541" s="21">
        <v>0</v>
      </c>
      <c r="G541" s="21">
        <v>18</v>
      </c>
      <c r="H541" s="21">
        <v>9</v>
      </c>
      <c r="I541" s="21">
        <v>2</v>
      </c>
      <c r="J541" s="21">
        <v>21</v>
      </c>
      <c r="K541" s="18">
        <f>J541+L541</f>
        <v>23</v>
      </c>
      <c r="L541" s="21">
        <v>2</v>
      </c>
      <c r="M541" s="21">
        <v>6</v>
      </c>
      <c r="N541" s="21">
        <f>86+68</f>
        <v>154</v>
      </c>
      <c r="O541" s="19">
        <f>N541/J541</f>
        <v>7.333333333333333</v>
      </c>
      <c r="P541" s="21">
        <v>0</v>
      </c>
      <c r="Q541" s="21">
        <v>0</v>
      </c>
      <c r="R541" s="21">
        <v>33</v>
      </c>
      <c r="S541" s="44">
        <v>0</v>
      </c>
      <c r="T541" s="39">
        <v>0</v>
      </c>
      <c r="U541" s="39">
        <v>0</v>
      </c>
      <c r="V541" s="39">
        <v>0</v>
      </c>
      <c r="W541" s="19" t="e">
        <f>V541/S541</f>
        <v>#DIV/0!</v>
      </c>
      <c r="X541" s="19" t="e">
        <f>V541/U541</f>
        <v>#DIV/0!</v>
      </c>
      <c r="Y541" s="20" t="e">
        <f>S541*6/U541</f>
        <v>#DIV/0!</v>
      </c>
      <c r="Z541" s="39">
        <v>0</v>
      </c>
      <c r="AA541" s="39">
        <v>0</v>
      </c>
      <c r="AB541" s="39">
        <v>0</v>
      </c>
      <c r="AC541" s="39">
        <v>12</v>
      </c>
    </row>
    <row r="542" spans="1:29" x14ac:dyDescent="0.35">
      <c r="A542" s="1" t="s">
        <v>1197</v>
      </c>
      <c r="B542" s="1" t="s">
        <v>1198</v>
      </c>
      <c r="C542">
        <f>D542+E542+F542+G542+H542+I542</f>
        <v>8</v>
      </c>
      <c r="D542" s="2">
        <v>0</v>
      </c>
      <c r="E542" s="2">
        <v>8</v>
      </c>
      <c r="F542" s="2">
        <v>0</v>
      </c>
      <c r="G542" s="2">
        <v>0</v>
      </c>
      <c r="H542" s="2">
        <v>0</v>
      </c>
      <c r="I542" s="2">
        <v>0</v>
      </c>
      <c r="J542" s="2">
        <v>3</v>
      </c>
      <c r="K542">
        <f>J542+L542</f>
        <v>6</v>
      </c>
      <c r="L542" s="2">
        <v>3</v>
      </c>
      <c r="M542" s="2">
        <v>2</v>
      </c>
      <c r="N542" s="2">
        <v>70</v>
      </c>
      <c r="O542" s="3">
        <f>N542/J542</f>
        <v>23.333333333333332</v>
      </c>
      <c r="P542" s="2">
        <v>0</v>
      </c>
      <c r="Q542" s="2">
        <v>0</v>
      </c>
      <c r="R542" s="11" t="s">
        <v>1199</v>
      </c>
      <c r="S542" s="11">
        <v>30</v>
      </c>
      <c r="T542" s="11">
        <v>5</v>
      </c>
      <c r="U542" s="11">
        <v>5</v>
      </c>
      <c r="V542" s="11">
        <v>109</v>
      </c>
      <c r="W542" s="3">
        <f>V542/S542</f>
        <v>3.6333333333333333</v>
      </c>
      <c r="X542" s="3">
        <f>V542/U542</f>
        <v>21.8</v>
      </c>
      <c r="Y542" s="3">
        <f>180/5</f>
        <v>36</v>
      </c>
      <c r="Z542" s="11" t="s">
        <v>1200</v>
      </c>
      <c r="AA542" s="2">
        <v>0</v>
      </c>
      <c r="AB542" s="2">
        <v>0</v>
      </c>
      <c r="AC542" s="2">
        <v>3</v>
      </c>
    </row>
    <row r="543" spans="1:29" x14ac:dyDescent="0.35">
      <c r="A543" s="7" t="s">
        <v>619</v>
      </c>
      <c r="B543" s="7" t="s">
        <v>620</v>
      </c>
      <c r="C543">
        <f>D543+E543+F543+G543+H543+I543</f>
        <v>9</v>
      </c>
      <c r="D543" s="5">
        <v>0</v>
      </c>
      <c r="E543" s="5">
        <v>0</v>
      </c>
      <c r="F543" s="5">
        <v>0</v>
      </c>
      <c r="G543" s="5">
        <v>0</v>
      </c>
      <c r="H543" s="5">
        <v>9</v>
      </c>
      <c r="I543" s="5">
        <v>0</v>
      </c>
      <c r="J543" s="5">
        <v>8</v>
      </c>
      <c r="K543">
        <f>J543+L543</f>
        <v>9</v>
      </c>
      <c r="L543" s="5">
        <v>1</v>
      </c>
      <c r="M543" s="5">
        <v>1</v>
      </c>
      <c r="N543" s="5">
        <v>280</v>
      </c>
      <c r="O543" s="3">
        <f>N543/J543</f>
        <v>35</v>
      </c>
      <c r="P543" s="5">
        <v>1</v>
      </c>
      <c r="Q543" s="5">
        <v>0</v>
      </c>
      <c r="R543" s="40">
        <v>98</v>
      </c>
      <c r="S543" s="40">
        <v>12</v>
      </c>
      <c r="T543" s="40">
        <v>2</v>
      </c>
      <c r="U543" s="40">
        <v>0</v>
      </c>
      <c r="V543" s="40">
        <v>57</v>
      </c>
      <c r="W543" s="3">
        <f>V543/S543</f>
        <v>4.75</v>
      </c>
      <c r="X543" s="3" t="e">
        <f>V543/U543</f>
        <v>#DIV/0!</v>
      </c>
      <c r="Y543" s="4" t="e">
        <f>S543*6/U543</f>
        <v>#DIV/0!</v>
      </c>
      <c r="Z543" s="40">
        <v>0</v>
      </c>
      <c r="AA543" s="40">
        <v>0</v>
      </c>
      <c r="AB543" s="40">
        <v>0</v>
      </c>
      <c r="AC543" s="40">
        <v>3</v>
      </c>
    </row>
    <row r="544" spans="1:29" x14ac:dyDescent="0.35">
      <c r="A544" s="35" t="s">
        <v>1191</v>
      </c>
      <c r="B544" s="35" t="s">
        <v>1192</v>
      </c>
      <c r="C544">
        <f>D544+E544+F544+G544+H544+I544</f>
        <v>13</v>
      </c>
      <c r="D544" s="5">
        <v>0</v>
      </c>
      <c r="E544" s="5">
        <v>13</v>
      </c>
      <c r="F544" s="5">
        <v>0</v>
      </c>
      <c r="G544" s="5">
        <v>0</v>
      </c>
      <c r="H544" s="5">
        <v>0</v>
      </c>
      <c r="I544" s="5">
        <v>0</v>
      </c>
      <c r="J544" s="5">
        <v>1</v>
      </c>
      <c r="K544" s="8">
        <f>J544+L544</f>
        <v>2</v>
      </c>
      <c r="L544" s="5">
        <v>1</v>
      </c>
      <c r="M544" s="5">
        <v>11</v>
      </c>
      <c r="N544" s="5">
        <v>2</v>
      </c>
      <c r="O544" s="3">
        <f>N544/J544</f>
        <v>2</v>
      </c>
      <c r="P544" s="5">
        <v>0</v>
      </c>
      <c r="Q544" s="5">
        <v>0</v>
      </c>
      <c r="R544" s="5">
        <v>2</v>
      </c>
      <c r="S544" s="35">
        <v>54</v>
      </c>
      <c r="T544" s="35">
        <v>5</v>
      </c>
      <c r="U544" s="35">
        <v>8</v>
      </c>
      <c r="V544" s="35">
        <v>232</v>
      </c>
      <c r="W544" s="3">
        <f>V544/S544</f>
        <v>4.2962962962962967</v>
      </c>
      <c r="X544" s="3">
        <f>V544/U544</f>
        <v>29</v>
      </c>
      <c r="Y544" s="3">
        <f>324/8</f>
        <v>40.5</v>
      </c>
      <c r="Z544" s="35" t="s">
        <v>1193</v>
      </c>
      <c r="AA544" s="40">
        <v>0</v>
      </c>
      <c r="AB544" s="40">
        <v>0</v>
      </c>
      <c r="AC544" s="40">
        <v>1</v>
      </c>
    </row>
    <row r="545" spans="1:29" x14ac:dyDescent="0.35">
      <c r="A545" s="37" t="s">
        <v>1423</v>
      </c>
      <c r="B545" s="37" t="s">
        <v>1424</v>
      </c>
      <c r="C545" s="18">
        <f>D545+E545+F545+G545+H545+I545</f>
        <v>4</v>
      </c>
      <c r="D545" s="21">
        <v>0</v>
      </c>
      <c r="E545" s="21">
        <v>0</v>
      </c>
      <c r="F545" s="21">
        <v>0</v>
      </c>
      <c r="G545" s="21">
        <v>3</v>
      </c>
      <c r="H545" s="21">
        <v>1</v>
      </c>
      <c r="I545" s="21">
        <v>0</v>
      </c>
      <c r="J545" s="21">
        <v>2</v>
      </c>
      <c r="K545" s="18">
        <f>J545+L545</f>
        <v>3</v>
      </c>
      <c r="L545" s="21">
        <v>1</v>
      </c>
      <c r="M545" s="21">
        <v>1</v>
      </c>
      <c r="N545" s="21">
        <v>6</v>
      </c>
      <c r="O545" s="19">
        <f>N545/J545</f>
        <v>3</v>
      </c>
      <c r="P545" s="21">
        <v>0</v>
      </c>
      <c r="Q545" s="21">
        <v>0</v>
      </c>
      <c r="R545" s="37" t="s">
        <v>1269</v>
      </c>
      <c r="S545" s="37">
        <v>15</v>
      </c>
      <c r="T545" s="37">
        <v>0</v>
      </c>
      <c r="U545" s="37">
        <v>6</v>
      </c>
      <c r="V545" s="37">
        <f>33+46</f>
        <v>79</v>
      </c>
      <c r="W545" s="19">
        <f>V545/S545</f>
        <v>5.2666666666666666</v>
      </c>
      <c r="X545" s="19">
        <f>V545/U545</f>
        <v>13.166666666666666</v>
      </c>
      <c r="Y545" s="19">
        <f>S545*6/U545</f>
        <v>15</v>
      </c>
      <c r="Z545" s="37" t="s">
        <v>1384</v>
      </c>
      <c r="AA545" s="37">
        <v>0</v>
      </c>
      <c r="AB545" s="37">
        <v>0</v>
      </c>
      <c r="AC545" s="37">
        <v>0</v>
      </c>
    </row>
    <row r="546" spans="1:29" x14ac:dyDescent="0.35">
      <c r="A546" s="1" t="s">
        <v>622</v>
      </c>
      <c r="B546" s="1" t="s">
        <v>623</v>
      </c>
      <c r="C546">
        <f>D546+E546+F546+G546+H546+I546</f>
        <v>61</v>
      </c>
      <c r="D546" s="2">
        <v>0</v>
      </c>
      <c r="E546" s="2">
        <v>0</v>
      </c>
      <c r="F546" s="2">
        <v>24</v>
      </c>
      <c r="G546" s="2">
        <v>22</v>
      </c>
      <c r="H546" s="2">
        <v>15</v>
      </c>
      <c r="I546" s="2">
        <v>0</v>
      </c>
      <c r="J546" s="2">
        <v>27</v>
      </c>
      <c r="K546">
        <f>J546+L546</f>
        <v>39</v>
      </c>
      <c r="L546" s="2">
        <v>12</v>
      </c>
      <c r="M546" s="2">
        <v>19</v>
      </c>
      <c r="N546" s="2">
        <f>222+24</f>
        <v>246</v>
      </c>
      <c r="O546" s="3">
        <f>N546/J546</f>
        <v>9.1111111111111107</v>
      </c>
      <c r="P546" s="2">
        <v>0</v>
      </c>
      <c r="Q546" s="2">
        <v>0</v>
      </c>
      <c r="R546" s="2">
        <v>27</v>
      </c>
      <c r="S546" s="2">
        <f>176+35</f>
        <v>211</v>
      </c>
      <c r="T546" s="2">
        <v>25</v>
      </c>
      <c r="U546" s="2">
        <f>36+7</f>
        <v>43</v>
      </c>
      <c r="V546" s="2">
        <f>716+146</f>
        <v>862</v>
      </c>
      <c r="W546" s="3">
        <f>V546/S546</f>
        <v>4.0853080568720381</v>
      </c>
      <c r="X546" s="3">
        <f>V546/U546</f>
        <v>20.046511627906977</v>
      </c>
      <c r="Y546" s="4">
        <f>S546*6/U546</f>
        <v>29.441860465116278</v>
      </c>
      <c r="Z546" s="2" t="s">
        <v>1130</v>
      </c>
      <c r="AA546" s="2">
        <v>2</v>
      </c>
      <c r="AB546" s="2">
        <v>0</v>
      </c>
      <c r="AC546" s="2">
        <v>26</v>
      </c>
    </row>
    <row r="547" spans="1:29" x14ac:dyDescent="0.35">
      <c r="A547" s="1" t="s">
        <v>624</v>
      </c>
      <c r="B547" s="1" t="s">
        <v>625</v>
      </c>
      <c r="C547">
        <f>D547+E547+F547+G547+H547+I547</f>
        <v>2</v>
      </c>
      <c r="D547" s="2">
        <v>0</v>
      </c>
      <c r="E547" s="2">
        <v>0</v>
      </c>
      <c r="F547" s="2">
        <v>0</v>
      </c>
      <c r="G547" s="2">
        <v>2</v>
      </c>
      <c r="H547" s="2">
        <v>0</v>
      </c>
      <c r="I547" s="2">
        <v>0</v>
      </c>
      <c r="J547" s="2">
        <v>2</v>
      </c>
      <c r="K547">
        <f>J547+L547</f>
        <v>2</v>
      </c>
      <c r="L547" s="2">
        <v>0</v>
      </c>
      <c r="M547" s="2">
        <v>0</v>
      </c>
      <c r="N547" s="2">
        <v>2</v>
      </c>
      <c r="O547" s="3">
        <f>N547/J547</f>
        <v>1</v>
      </c>
      <c r="P547" s="2">
        <v>0</v>
      </c>
      <c r="Q547" s="2">
        <v>0</v>
      </c>
      <c r="R547" s="2">
        <v>2</v>
      </c>
      <c r="S547" s="2">
        <v>1</v>
      </c>
      <c r="T547" s="2">
        <v>0</v>
      </c>
      <c r="U547" s="2">
        <v>0</v>
      </c>
      <c r="V547" s="2">
        <v>10</v>
      </c>
      <c r="W547" s="3">
        <f>V547/S547</f>
        <v>10</v>
      </c>
      <c r="X547" s="3" t="e">
        <f>V547/U547</f>
        <v>#DIV/0!</v>
      </c>
      <c r="Y547" s="4" t="e">
        <f>S547*6/U547</f>
        <v>#DIV/0!</v>
      </c>
      <c r="Z547" s="2">
        <v>0</v>
      </c>
      <c r="AA547" s="2">
        <v>0</v>
      </c>
      <c r="AB547" s="2">
        <v>0</v>
      </c>
      <c r="AC547" s="2">
        <v>0</v>
      </c>
    </row>
    <row r="548" spans="1:29" x14ac:dyDescent="0.35">
      <c r="A548" s="1" t="s">
        <v>626</v>
      </c>
      <c r="B548" s="1" t="s">
        <v>627</v>
      </c>
      <c r="C548">
        <f>D548+E548+F548+G548+H548+I548</f>
        <v>20</v>
      </c>
      <c r="D548" s="2">
        <v>1</v>
      </c>
      <c r="E548" s="2">
        <v>17</v>
      </c>
      <c r="F548" s="2">
        <v>0</v>
      </c>
      <c r="G548" s="2">
        <v>0</v>
      </c>
      <c r="H548" s="2">
        <v>2</v>
      </c>
      <c r="I548" s="2">
        <v>0</v>
      </c>
      <c r="J548" s="2">
        <v>11</v>
      </c>
      <c r="K548">
        <f>J548+L548</f>
        <v>12</v>
      </c>
      <c r="L548" s="2">
        <v>1</v>
      </c>
      <c r="M548" s="2">
        <v>9</v>
      </c>
      <c r="N548" s="2">
        <v>165</v>
      </c>
      <c r="O548" s="3">
        <f>N548/J548</f>
        <v>15</v>
      </c>
      <c r="P548" s="2">
        <v>1</v>
      </c>
      <c r="Q548" s="2">
        <v>0</v>
      </c>
      <c r="R548" s="2">
        <v>60</v>
      </c>
      <c r="S548" s="2">
        <v>138</v>
      </c>
      <c r="T548" s="2">
        <v>37</v>
      </c>
      <c r="U548" s="2">
        <v>17</v>
      </c>
      <c r="V548" s="2">
        <v>301</v>
      </c>
      <c r="W548" s="3">
        <f>V548/S548</f>
        <v>2.181159420289855</v>
      </c>
      <c r="X548" s="3">
        <f>V548/U548</f>
        <v>17.705882352941178</v>
      </c>
      <c r="Y548" s="4">
        <f>S548*6/U548</f>
        <v>48.705882352941174</v>
      </c>
      <c r="Z548" s="2">
        <v>3</v>
      </c>
      <c r="AA548" s="2">
        <v>0</v>
      </c>
      <c r="AB548" s="2">
        <v>0</v>
      </c>
      <c r="AC548" s="2">
        <v>3</v>
      </c>
    </row>
    <row r="549" spans="1:29" x14ac:dyDescent="0.35">
      <c r="A549" s="1" t="s">
        <v>626</v>
      </c>
      <c r="B549" s="1" t="s">
        <v>31</v>
      </c>
      <c r="C549">
        <f>D549+E549+F549+G549+H549+I549</f>
        <v>8</v>
      </c>
      <c r="D549" s="2">
        <v>0</v>
      </c>
      <c r="E549" s="2">
        <v>0</v>
      </c>
      <c r="F549" s="2">
        <v>0</v>
      </c>
      <c r="G549" s="2">
        <v>0</v>
      </c>
      <c r="H549" s="2">
        <v>1</v>
      </c>
      <c r="I549" s="2">
        <v>7</v>
      </c>
      <c r="J549" s="2">
        <v>8</v>
      </c>
      <c r="K549">
        <f>J549+L549</f>
        <v>9</v>
      </c>
      <c r="L549" s="2">
        <v>1</v>
      </c>
      <c r="M549" s="2">
        <v>0</v>
      </c>
      <c r="N549" s="2">
        <v>32</v>
      </c>
      <c r="O549" s="3">
        <f>N549/J549</f>
        <v>4</v>
      </c>
      <c r="P549" s="2">
        <v>0</v>
      </c>
      <c r="Q549" s="2">
        <v>0</v>
      </c>
      <c r="R549" s="2">
        <v>9</v>
      </c>
      <c r="S549" s="2">
        <v>0</v>
      </c>
      <c r="T549" s="2">
        <v>0</v>
      </c>
      <c r="U549" s="2">
        <v>0</v>
      </c>
      <c r="V549" s="2">
        <v>0</v>
      </c>
      <c r="W549" s="3" t="e">
        <f>V549/S549</f>
        <v>#DIV/0!</v>
      </c>
      <c r="X549" s="3" t="e">
        <f>V549/U549</f>
        <v>#DIV/0!</v>
      </c>
      <c r="Y549" s="4" t="e">
        <f>S549*6/U549</f>
        <v>#DIV/0!</v>
      </c>
      <c r="Z549" s="2">
        <v>0</v>
      </c>
      <c r="AA549" s="2">
        <v>0</v>
      </c>
      <c r="AB549" s="2">
        <v>0</v>
      </c>
      <c r="AC549" s="2">
        <v>1</v>
      </c>
    </row>
    <row r="550" spans="1:29" x14ac:dyDescent="0.35">
      <c r="A550" s="1" t="s">
        <v>626</v>
      </c>
      <c r="B550" s="1" t="s">
        <v>190</v>
      </c>
      <c r="C550">
        <f>D550+E550+F550+G550+H550+I550</f>
        <v>1</v>
      </c>
      <c r="D550" s="2">
        <v>1</v>
      </c>
      <c r="E550" s="2">
        <v>0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>
        <f>J550+L550</f>
        <v>1</v>
      </c>
      <c r="L550" s="2">
        <v>1</v>
      </c>
      <c r="M550" s="2">
        <v>0</v>
      </c>
      <c r="N550" s="2">
        <v>22</v>
      </c>
      <c r="O550" s="3" t="e">
        <f>N550/J550</f>
        <v>#DIV/0!</v>
      </c>
      <c r="P550" s="2">
        <v>0</v>
      </c>
      <c r="Q550" s="2">
        <v>0</v>
      </c>
      <c r="R550" s="2">
        <v>22</v>
      </c>
      <c r="S550" s="2">
        <v>0</v>
      </c>
      <c r="T550" s="2">
        <v>0</v>
      </c>
      <c r="U550" s="2">
        <v>0</v>
      </c>
      <c r="V550" s="2">
        <v>0</v>
      </c>
      <c r="W550" s="3" t="e">
        <f>V550/S550</f>
        <v>#DIV/0!</v>
      </c>
      <c r="X550" s="3" t="e">
        <f>V550/U550</f>
        <v>#DIV/0!</v>
      </c>
      <c r="Y550" s="4" t="e">
        <f>S550*6/U550</f>
        <v>#DIV/0!</v>
      </c>
      <c r="Z550" s="2">
        <v>0</v>
      </c>
      <c r="AA550" s="2">
        <v>0</v>
      </c>
      <c r="AB550" s="2">
        <v>0</v>
      </c>
      <c r="AC550" s="2">
        <v>0</v>
      </c>
    </row>
    <row r="551" spans="1:29" x14ac:dyDescent="0.35">
      <c r="A551" s="1" t="s">
        <v>628</v>
      </c>
      <c r="B551" s="1" t="s">
        <v>144</v>
      </c>
      <c r="C551">
        <f>D551+E551+F551+G551+H551+I551</f>
        <v>1</v>
      </c>
      <c r="D551" s="2">
        <v>0</v>
      </c>
      <c r="E551" s="2">
        <v>0</v>
      </c>
      <c r="F551" s="2">
        <v>1</v>
      </c>
      <c r="G551" s="2">
        <v>0</v>
      </c>
      <c r="H551" s="2">
        <v>0</v>
      </c>
      <c r="I551" s="2">
        <v>0</v>
      </c>
      <c r="J551" s="2">
        <v>1</v>
      </c>
      <c r="K551">
        <f>J551+L551</f>
        <v>1</v>
      </c>
      <c r="L551" s="2">
        <v>0</v>
      </c>
      <c r="M551" s="2">
        <v>0</v>
      </c>
      <c r="N551" s="2">
        <v>14</v>
      </c>
      <c r="O551" s="3">
        <f>N551/J551</f>
        <v>14</v>
      </c>
      <c r="P551" s="2">
        <v>0</v>
      </c>
      <c r="Q551" s="2">
        <v>0</v>
      </c>
      <c r="R551" s="2">
        <v>14</v>
      </c>
      <c r="S551" s="2">
        <v>5</v>
      </c>
      <c r="T551" s="2">
        <v>0</v>
      </c>
      <c r="U551" s="2">
        <v>2</v>
      </c>
      <c r="V551" s="2">
        <v>27</v>
      </c>
      <c r="W551" s="3">
        <f>V551/S551</f>
        <v>5.4</v>
      </c>
      <c r="X551" s="3">
        <f>V551/U551</f>
        <v>13.5</v>
      </c>
      <c r="Y551" s="4">
        <f>S551*6/U551</f>
        <v>15</v>
      </c>
      <c r="Z551" s="2">
        <v>2</v>
      </c>
      <c r="AA551" s="2">
        <v>0</v>
      </c>
      <c r="AB551" s="2">
        <v>0</v>
      </c>
      <c r="AC551" s="2">
        <v>0</v>
      </c>
    </row>
    <row r="552" spans="1:29" x14ac:dyDescent="0.35">
      <c r="A552" s="1" t="s">
        <v>629</v>
      </c>
      <c r="B552" s="1" t="s">
        <v>87</v>
      </c>
      <c r="C552">
        <f>D552+E552+F552+G552+H552+I552</f>
        <v>17</v>
      </c>
      <c r="D552" s="2">
        <v>12</v>
      </c>
      <c r="E552" s="2">
        <v>5</v>
      </c>
      <c r="F552" s="2">
        <v>0</v>
      </c>
      <c r="G552" s="2">
        <v>0</v>
      </c>
      <c r="H552" s="2">
        <v>0</v>
      </c>
      <c r="I552" s="2">
        <v>0</v>
      </c>
      <c r="J552" s="2">
        <v>14</v>
      </c>
      <c r="K552">
        <f>J552+L552</f>
        <v>15</v>
      </c>
      <c r="L552" s="2">
        <v>1</v>
      </c>
      <c r="M552" s="2">
        <v>3</v>
      </c>
      <c r="N552" s="2">
        <v>210</v>
      </c>
      <c r="O552" s="3">
        <f>N552/J552</f>
        <v>15</v>
      </c>
      <c r="P552" s="2">
        <v>0</v>
      </c>
      <c r="Q552" s="2">
        <v>0</v>
      </c>
      <c r="R552" s="2">
        <v>35</v>
      </c>
      <c r="S552" s="2">
        <v>0</v>
      </c>
      <c r="T552" s="2">
        <v>0</v>
      </c>
      <c r="U552" s="2">
        <v>0</v>
      </c>
      <c r="V552" s="2">
        <v>0</v>
      </c>
      <c r="W552" s="3" t="e">
        <f>V552/S552</f>
        <v>#DIV/0!</v>
      </c>
      <c r="X552" s="3" t="e">
        <f>V552/U552</f>
        <v>#DIV/0!</v>
      </c>
      <c r="Y552" s="4" t="e">
        <f>S552*6/U552</f>
        <v>#DIV/0!</v>
      </c>
      <c r="Z552" s="2">
        <v>0</v>
      </c>
      <c r="AA552" s="2">
        <v>0</v>
      </c>
      <c r="AB552" s="2">
        <v>0</v>
      </c>
      <c r="AC552" s="2">
        <v>26</v>
      </c>
    </row>
    <row r="553" spans="1:29" x14ac:dyDescent="0.35">
      <c r="A553" s="35" t="s">
        <v>1440</v>
      </c>
      <c r="B553" s="35" t="s">
        <v>156</v>
      </c>
      <c r="C553">
        <f>D553+E553+F553+G553+H553+I553</f>
        <v>3</v>
      </c>
      <c r="D553" s="5">
        <v>0</v>
      </c>
      <c r="E553" s="5">
        <v>0</v>
      </c>
      <c r="F553" s="5">
        <v>0</v>
      </c>
      <c r="G553" s="5">
        <v>0</v>
      </c>
      <c r="H553" s="5">
        <v>3</v>
      </c>
      <c r="I553" s="5">
        <v>0</v>
      </c>
      <c r="J553" s="5">
        <v>3</v>
      </c>
      <c r="K553">
        <f>J553+L553</f>
        <v>3</v>
      </c>
      <c r="L553" s="5">
        <v>0</v>
      </c>
      <c r="M553" s="5">
        <v>0</v>
      </c>
      <c r="N553" s="5">
        <v>18</v>
      </c>
      <c r="O553" s="3">
        <f>N553/J553</f>
        <v>6</v>
      </c>
      <c r="P553" s="5">
        <v>0</v>
      </c>
      <c r="Q553" s="5">
        <v>0</v>
      </c>
      <c r="R553" s="5">
        <v>11</v>
      </c>
      <c r="S553" s="35">
        <v>8</v>
      </c>
      <c r="T553" s="35">
        <v>0</v>
      </c>
      <c r="U553" s="35">
        <v>5</v>
      </c>
      <c r="V553" s="35">
        <v>67</v>
      </c>
      <c r="W553">
        <v>8.3800000000000008</v>
      </c>
      <c r="X553">
        <v>13.4</v>
      </c>
      <c r="Y553">
        <v>9.6</v>
      </c>
      <c r="Z553" s="35" t="s">
        <v>1441</v>
      </c>
      <c r="AA553" s="35">
        <v>0</v>
      </c>
      <c r="AB553" s="35">
        <v>0</v>
      </c>
      <c r="AC553" s="35">
        <v>2</v>
      </c>
    </row>
    <row r="554" spans="1:29" x14ac:dyDescent="0.35">
      <c r="A554" s="1" t="s">
        <v>630</v>
      </c>
      <c r="B554" s="1" t="s">
        <v>138</v>
      </c>
      <c r="C554">
        <f>D554+E554+F554+G554+H554+I554</f>
        <v>2</v>
      </c>
      <c r="D554" s="2">
        <v>0</v>
      </c>
      <c r="E554" s="2">
        <v>2</v>
      </c>
      <c r="F554" s="2">
        <v>0</v>
      </c>
      <c r="G554" s="2">
        <v>0</v>
      </c>
      <c r="H554" s="2">
        <v>0</v>
      </c>
      <c r="I554" s="2">
        <v>0</v>
      </c>
      <c r="J554" s="2">
        <v>2</v>
      </c>
      <c r="K554">
        <f>J554+L554</f>
        <v>2</v>
      </c>
      <c r="L554" s="2">
        <v>0</v>
      </c>
      <c r="M554" s="2">
        <v>0</v>
      </c>
      <c r="N554" s="2">
        <v>9</v>
      </c>
      <c r="O554" s="3">
        <f>N554/J554</f>
        <v>4.5</v>
      </c>
      <c r="P554" s="2">
        <v>0</v>
      </c>
      <c r="Q554" s="2">
        <v>0</v>
      </c>
      <c r="R554" s="2">
        <v>7</v>
      </c>
      <c r="S554" s="2">
        <v>0</v>
      </c>
      <c r="T554" s="2">
        <v>0</v>
      </c>
      <c r="U554" s="2">
        <v>0</v>
      </c>
      <c r="V554" s="2">
        <v>0</v>
      </c>
      <c r="W554" s="3" t="e">
        <f>V554/S554</f>
        <v>#DIV/0!</v>
      </c>
      <c r="X554" s="3" t="e">
        <f>V554/U554</f>
        <v>#DIV/0!</v>
      </c>
      <c r="Y554" s="4" t="e">
        <f>S554*6/U554</f>
        <v>#DIV/0!</v>
      </c>
      <c r="Z554" s="2">
        <v>0</v>
      </c>
      <c r="AA554" s="2">
        <v>0</v>
      </c>
      <c r="AB554" s="2">
        <v>0</v>
      </c>
      <c r="AC554" s="2">
        <v>0</v>
      </c>
    </row>
    <row r="555" spans="1:29" x14ac:dyDescent="0.35">
      <c r="A555" s="1" t="s">
        <v>631</v>
      </c>
      <c r="B555" s="1" t="s">
        <v>632</v>
      </c>
      <c r="C555">
        <f>D555+E555+F555+G555+H555+I555</f>
        <v>6</v>
      </c>
      <c r="D555" s="2">
        <v>0</v>
      </c>
      <c r="E555" s="2">
        <v>0</v>
      </c>
      <c r="F555" s="2">
        <v>6</v>
      </c>
      <c r="G555" s="2">
        <v>0</v>
      </c>
      <c r="H555" s="2">
        <v>0</v>
      </c>
      <c r="I555" s="2">
        <v>0</v>
      </c>
      <c r="J555" s="2">
        <v>6</v>
      </c>
      <c r="K555">
        <f>J555+L555</f>
        <v>6</v>
      </c>
      <c r="L555" s="2">
        <v>0</v>
      </c>
      <c r="M555" s="2">
        <v>1</v>
      </c>
      <c r="N555" s="2">
        <v>126</v>
      </c>
      <c r="O555" s="3">
        <f>N555/J555</f>
        <v>21</v>
      </c>
      <c r="P555" s="2">
        <v>1</v>
      </c>
      <c r="Q555" s="2">
        <v>0</v>
      </c>
      <c r="R555" s="2">
        <v>66</v>
      </c>
      <c r="S555" s="2">
        <v>57</v>
      </c>
      <c r="T555" s="2">
        <v>9</v>
      </c>
      <c r="U555" s="2">
        <v>7</v>
      </c>
      <c r="V555" s="2">
        <v>156</v>
      </c>
      <c r="W555" s="3">
        <f>V555/S555</f>
        <v>2.736842105263158</v>
      </c>
      <c r="X555" s="3">
        <f>V555/U555</f>
        <v>22.285714285714285</v>
      </c>
      <c r="Y555" s="4">
        <f>S555*6/U555</f>
        <v>48.857142857142854</v>
      </c>
      <c r="Z555" s="2">
        <v>6</v>
      </c>
      <c r="AA555" s="2">
        <v>1</v>
      </c>
      <c r="AB555" s="2">
        <v>0</v>
      </c>
      <c r="AC555" s="2">
        <v>2</v>
      </c>
    </row>
    <row r="556" spans="1:29" x14ac:dyDescent="0.35">
      <c r="A556" s="1" t="s">
        <v>631</v>
      </c>
      <c r="B556" s="1" t="s">
        <v>174</v>
      </c>
      <c r="C556">
        <f>D556+E556+F556+G556+H556+I556</f>
        <v>1</v>
      </c>
      <c r="D556" s="2">
        <v>0</v>
      </c>
      <c r="E556" s="2">
        <v>0</v>
      </c>
      <c r="F556" s="2">
        <v>1</v>
      </c>
      <c r="G556" s="2">
        <v>0</v>
      </c>
      <c r="H556" s="2">
        <v>0</v>
      </c>
      <c r="I556" s="2">
        <v>0</v>
      </c>
      <c r="J556" s="2">
        <v>1</v>
      </c>
      <c r="K556">
        <f>J556+L556</f>
        <v>1</v>
      </c>
      <c r="L556" s="2">
        <v>0</v>
      </c>
      <c r="M556" s="2">
        <v>0</v>
      </c>
      <c r="N556" s="2">
        <v>12</v>
      </c>
      <c r="O556" s="3">
        <f>N556/J556</f>
        <v>12</v>
      </c>
      <c r="P556" s="2">
        <v>0</v>
      </c>
      <c r="Q556" s="2">
        <v>0</v>
      </c>
      <c r="R556" s="2">
        <v>12</v>
      </c>
      <c r="S556" s="2">
        <v>4</v>
      </c>
      <c r="T556" s="2">
        <v>2</v>
      </c>
      <c r="U556" s="2">
        <v>0</v>
      </c>
      <c r="V556" s="2">
        <v>4</v>
      </c>
      <c r="W556" s="3">
        <f>V556/S556</f>
        <v>1</v>
      </c>
      <c r="X556" s="3" t="e">
        <f>V556/U556</f>
        <v>#DIV/0!</v>
      </c>
      <c r="Y556" s="4" t="e">
        <f>S556*6/U556</f>
        <v>#DIV/0!</v>
      </c>
      <c r="Z556" s="2">
        <v>0</v>
      </c>
      <c r="AA556" s="2">
        <v>0</v>
      </c>
      <c r="AB556" s="2">
        <v>0</v>
      </c>
      <c r="AC556" s="2">
        <v>1</v>
      </c>
    </row>
    <row r="557" spans="1:29" x14ac:dyDescent="0.35">
      <c r="A557" s="1" t="s">
        <v>633</v>
      </c>
      <c r="B557" s="1" t="s">
        <v>97</v>
      </c>
      <c r="C557">
        <f>D557+E557+F557+G557+H557+I557</f>
        <v>4</v>
      </c>
      <c r="D557" s="2">
        <v>0</v>
      </c>
      <c r="E557" s="2">
        <v>0</v>
      </c>
      <c r="F557" s="2">
        <v>0</v>
      </c>
      <c r="G557" s="2">
        <v>4</v>
      </c>
      <c r="H557" s="2">
        <v>0</v>
      </c>
      <c r="I557" s="2">
        <v>0</v>
      </c>
      <c r="J557" s="2">
        <v>1</v>
      </c>
      <c r="K557">
        <f>J557+L557</f>
        <v>1</v>
      </c>
      <c r="L557" s="2">
        <v>0</v>
      </c>
      <c r="M557" s="2">
        <v>3</v>
      </c>
      <c r="N557" s="2">
        <v>3</v>
      </c>
      <c r="O557" s="3">
        <f>N557/J557</f>
        <v>3</v>
      </c>
      <c r="P557" s="2">
        <v>0</v>
      </c>
      <c r="Q557" s="2">
        <v>0</v>
      </c>
      <c r="R557" s="2">
        <v>3</v>
      </c>
      <c r="S557" s="2">
        <v>0</v>
      </c>
      <c r="T557" s="2">
        <v>0</v>
      </c>
      <c r="U557" s="2">
        <v>0</v>
      </c>
      <c r="V557" s="2">
        <v>0</v>
      </c>
      <c r="W557" s="3" t="e">
        <f>V557/S557</f>
        <v>#DIV/0!</v>
      </c>
      <c r="X557" s="3" t="e">
        <f>V557/U557</f>
        <v>#DIV/0!</v>
      </c>
      <c r="Y557" s="4" t="e">
        <f>S557*6/U557</f>
        <v>#DIV/0!</v>
      </c>
      <c r="Z557" s="2">
        <v>0</v>
      </c>
      <c r="AA557" s="2">
        <v>0</v>
      </c>
      <c r="AB557" s="2">
        <v>0</v>
      </c>
      <c r="AC557" s="2">
        <v>0</v>
      </c>
    </row>
    <row r="558" spans="1:29" x14ac:dyDescent="0.35">
      <c r="A558" s="1" t="s">
        <v>634</v>
      </c>
      <c r="B558" s="1" t="s">
        <v>154</v>
      </c>
      <c r="C558">
        <f>D558+E558+F558+G558+H558+I558</f>
        <v>3</v>
      </c>
      <c r="D558" s="2">
        <v>0</v>
      </c>
      <c r="E558" s="2">
        <v>0</v>
      </c>
      <c r="F558" s="2">
        <v>0</v>
      </c>
      <c r="G558" s="2">
        <v>0</v>
      </c>
      <c r="H558" s="2">
        <v>0</v>
      </c>
      <c r="I558" s="2">
        <v>3</v>
      </c>
      <c r="J558" s="2">
        <v>1</v>
      </c>
      <c r="K558">
        <f>J558+L558</f>
        <v>3</v>
      </c>
      <c r="L558" s="2">
        <v>2</v>
      </c>
      <c r="M558" s="2">
        <v>0</v>
      </c>
      <c r="N558" s="2">
        <v>4</v>
      </c>
      <c r="O558" s="3">
        <f>N558/J558</f>
        <v>4</v>
      </c>
      <c r="P558" s="2">
        <v>0</v>
      </c>
      <c r="Q558" s="2">
        <v>0</v>
      </c>
      <c r="R558" s="2">
        <v>2</v>
      </c>
      <c r="S558" s="2">
        <v>0</v>
      </c>
      <c r="T558" s="2">
        <v>0</v>
      </c>
      <c r="U558" s="2">
        <v>0</v>
      </c>
      <c r="V558" s="2">
        <v>0</v>
      </c>
      <c r="W558" s="3" t="e">
        <f>V558/S558</f>
        <v>#DIV/0!</v>
      </c>
      <c r="X558" s="3" t="e">
        <f>V558/U558</f>
        <v>#DIV/0!</v>
      </c>
      <c r="Y558" s="4" t="e">
        <f>S558*6/U558</f>
        <v>#DIV/0!</v>
      </c>
      <c r="Z558" s="2">
        <v>0</v>
      </c>
      <c r="AA558" s="2">
        <v>0</v>
      </c>
      <c r="AB558" s="2">
        <v>0</v>
      </c>
      <c r="AC558" s="2">
        <v>0</v>
      </c>
    </row>
    <row r="559" spans="1:29" x14ac:dyDescent="0.35">
      <c r="A559" s="1" t="s">
        <v>635</v>
      </c>
      <c r="B559" s="1" t="s">
        <v>42</v>
      </c>
      <c r="C559">
        <f>D559+E559+F559+G559+H559+I559</f>
        <v>179</v>
      </c>
      <c r="D559" s="2">
        <v>70</v>
      </c>
      <c r="E559" s="2">
        <v>85</v>
      </c>
      <c r="F559" s="2">
        <v>11</v>
      </c>
      <c r="G559" s="2">
        <v>3</v>
      </c>
      <c r="H559" s="2">
        <v>9</v>
      </c>
      <c r="I559" s="2">
        <v>1</v>
      </c>
      <c r="J559" s="2">
        <v>134</v>
      </c>
      <c r="K559">
        <f>J559+L559</f>
        <v>155</v>
      </c>
      <c r="L559" s="2">
        <v>21</v>
      </c>
      <c r="M559" s="2">
        <v>30</v>
      </c>
      <c r="N559" s="2">
        <v>2722</v>
      </c>
      <c r="O559" s="3">
        <f>N559/J559</f>
        <v>20.313432835820894</v>
      </c>
      <c r="P559" s="2">
        <v>12</v>
      </c>
      <c r="Q559" s="2">
        <v>1</v>
      </c>
      <c r="R559" s="2">
        <v>111</v>
      </c>
      <c r="S559" s="2">
        <v>1050</v>
      </c>
      <c r="T559" s="2">
        <v>273</v>
      </c>
      <c r="U559" s="2">
        <v>152</v>
      </c>
      <c r="V559" s="2">
        <v>2806</v>
      </c>
      <c r="W559" s="3">
        <f>V559/S559</f>
        <v>2.6723809523809523</v>
      </c>
      <c r="X559" s="3">
        <f>V559/U559</f>
        <v>18.460526315789473</v>
      </c>
      <c r="Y559" s="4">
        <f>S559*6/U559</f>
        <v>41.44736842105263</v>
      </c>
      <c r="Z559" s="2">
        <v>8</v>
      </c>
      <c r="AA559" s="2">
        <v>1</v>
      </c>
      <c r="AB559" s="2">
        <v>0</v>
      </c>
      <c r="AC559" s="2">
        <v>42</v>
      </c>
    </row>
    <row r="560" spans="1:29" x14ac:dyDescent="0.35">
      <c r="A560" s="1" t="s">
        <v>635</v>
      </c>
      <c r="B560" s="1" t="s">
        <v>165</v>
      </c>
      <c r="C560">
        <f>D560+E560+F560+G560+H560+I560</f>
        <v>44</v>
      </c>
      <c r="D560" s="2">
        <v>0</v>
      </c>
      <c r="E560" s="2">
        <v>0</v>
      </c>
      <c r="F560" s="2">
        <v>8</v>
      </c>
      <c r="G560" s="2">
        <v>15</v>
      </c>
      <c r="H560" s="2">
        <v>3</v>
      </c>
      <c r="I560" s="2">
        <v>18</v>
      </c>
      <c r="J560" s="2">
        <v>31</v>
      </c>
      <c r="K560">
        <f>J560+L560</f>
        <v>40</v>
      </c>
      <c r="L560" s="2">
        <v>9</v>
      </c>
      <c r="M560" s="2">
        <v>18</v>
      </c>
      <c r="N560" s="2">
        <v>317</v>
      </c>
      <c r="O560" s="3">
        <f>N560/J560</f>
        <v>10.225806451612904</v>
      </c>
      <c r="P560" s="2">
        <v>0</v>
      </c>
      <c r="Q560" s="2">
        <v>0</v>
      </c>
      <c r="R560" s="2">
        <v>34</v>
      </c>
      <c r="S560" s="2">
        <v>297</v>
      </c>
      <c r="T560" s="2">
        <v>46</v>
      </c>
      <c r="U560" s="2">
        <v>38</v>
      </c>
      <c r="V560" s="2">
        <v>1059</v>
      </c>
      <c r="W560" s="3">
        <f>V560/S560</f>
        <v>3.5656565656565657</v>
      </c>
      <c r="X560" s="3">
        <f>V560/U560</f>
        <v>27.868421052631579</v>
      </c>
      <c r="Y560" s="4">
        <f>S560*6/U560</f>
        <v>46.89473684210526</v>
      </c>
      <c r="Z560" s="2">
        <v>5</v>
      </c>
      <c r="AA560" s="2">
        <v>2</v>
      </c>
      <c r="AB560" s="2">
        <v>0</v>
      </c>
      <c r="AC560" s="2">
        <v>17</v>
      </c>
    </row>
    <row r="561" spans="1:29" x14ac:dyDescent="0.35">
      <c r="A561" s="1" t="s">
        <v>635</v>
      </c>
      <c r="B561" s="1" t="s">
        <v>265</v>
      </c>
      <c r="C561">
        <f>D561+E561+F561+G561+H561+I561</f>
        <v>3</v>
      </c>
      <c r="D561" s="2">
        <v>0</v>
      </c>
      <c r="E561" s="2">
        <v>0</v>
      </c>
      <c r="F561" s="2">
        <v>0</v>
      </c>
      <c r="G561" s="2">
        <v>0</v>
      </c>
      <c r="H561" s="2">
        <v>1</v>
      </c>
      <c r="I561" s="2">
        <v>2</v>
      </c>
      <c r="J561" s="2">
        <v>3</v>
      </c>
      <c r="K561">
        <f>J561+L561</f>
        <v>3</v>
      </c>
      <c r="L561" s="2">
        <v>0</v>
      </c>
      <c r="M561" s="2">
        <v>0</v>
      </c>
      <c r="N561" s="2">
        <v>25</v>
      </c>
      <c r="O561" s="3">
        <f>N561/J561</f>
        <v>8.3333333333333339</v>
      </c>
      <c r="P561" s="2">
        <v>0</v>
      </c>
      <c r="Q561" s="2">
        <v>0</v>
      </c>
      <c r="R561" s="2">
        <v>20</v>
      </c>
      <c r="S561" s="2">
        <v>5</v>
      </c>
      <c r="T561" s="2">
        <v>0</v>
      </c>
      <c r="U561" s="2">
        <v>0</v>
      </c>
      <c r="V561" s="2">
        <v>62</v>
      </c>
      <c r="W561" s="3">
        <f>V561/S561</f>
        <v>12.4</v>
      </c>
      <c r="X561" s="3" t="e">
        <f>V561/U561</f>
        <v>#DIV/0!</v>
      </c>
      <c r="Y561" s="4" t="e">
        <f>S561*6/U561</f>
        <v>#DIV/0!</v>
      </c>
      <c r="Z561" s="2">
        <v>0</v>
      </c>
      <c r="AA561" s="2">
        <v>0</v>
      </c>
      <c r="AB561" s="2">
        <v>0</v>
      </c>
      <c r="AC561" s="2">
        <v>0</v>
      </c>
    </row>
    <row r="562" spans="1:29" x14ac:dyDescent="0.35">
      <c r="A562" s="1" t="s">
        <v>636</v>
      </c>
      <c r="B562" s="1" t="s">
        <v>342</v>
      </c>
      <c r="C562">
        <f>D562+E562+F562+G562+H562+I562</f>
        <v>70</v>
      </c>
      <c r="D562" s="2">
        <v>0</v>
      </c>
      <c r="E562" s="2">
        <v>0</v>
      </c>
      <c r="F562" s="2">
        <v>2</v>
      </c>
      <c r="G562" s="2">
        <v>10</v>
      </c>
      <c r="H562" s="2">
        <v>49</v>
      </c>
      <c r="I562" s="2">
        <v>9</v>
      </c>
      <c r="J562" s="2">
        <v>54</v>
      </c>
      <c r="K562">
        <f>J562+L562</f>
        <v>63</v>
      </c>
      <c r="L562" s="2">
        <v>9</v>
      </c>
      <c r="M562" s="2">
        <v>15</v>
      </c>
      <c r="N562" s="2">
        <v>955</v>
      </c>
      <c r="O562" s="3">
        <f>N562/J562</f>
        <v>17.685185185185187</v>
      </c>
      <c r="P562" s="2">
        <v>2</v>
      </c>
      <c r="Q562" s="2">
        <v>1</v>
      </c>
      <c r="R562" s="2">
        <v>122</v>
      </c>
      <c r="S562" s="2">
        <v>862</v>
      </c>
      <c r="T562" s="2">
        <v>238</v>
      </c>
      <c r="U562" s="2">
        <v>153</v>
      </c>
      <c r="V562" s="2">
        <v>2192</v>
      </c>
      <c r="W562" s="3">
        <f>V562/S562</f>
        <v>2.54292343387471</v>
      </c>
      <c r="X562" s="3">
        <f>V562/U562</f>
        <v>14.326797385620916</v>
      </c>
      <c r="Y562" s="4">
        <f>S562*6/U562</f>
        <v>33.803921568627452</v>
      </c>
      <c r="Z562" s="2">
        <v>7</v>
      </c>
      <c r="AA562" s="2">
        <v>7</v>
      </c>
      <c r="AB562" s="2">
        <v>0</v>
      </c>
      <c r="AC562" s="2">
        <v>18</v>
      </c>
    </row>
    <row r="563" spans="1:29" x14ac:dyDescent="0.35">
      <c r="A563" s="1" t="s">
        <v>636</v>
      </c>
      <c r="B563" s="1" t="s">
        <v>190</v>
      </c>
      <c r="C563">
        <f>D563+E563+F563+G563+H563+I563</f>
        <v>19</v>
      </c>
      <c r="D563" s="2">
        <v>0</v>
      </c>
      <c r="E563" s="2">
        <v>0</v>
      </c>
      <c r="F563" s="2">
        <v>0</v>
      </c>
      <c r="G563" s="2">
        <v>1</v>
      </c>
      <c r="H563" s="2">
        <v>14</v>
      </c>
      <c r="I563" s="2">
        <v>4</v>
      </c>
      <c r="J563" s="2">
        <v>17</v>
      </c>
      <c r="K563">
        <f>J563+L563</f>
        <v>21</v>
      </c>
      <c r="L563" s="2">
        <v>4</v>
      </c>
      <c r="M563" s="2">
        <v>2</v>
      </c>
      <c r="N563" s="2">
        <v>238</v>
      </c>
      <c r="O563" s="3">
        <f>N563/J563</f>
        <v>14</v>
      </c>
      <c r="P563" s="2">
        <v>0</v>
      </c>
      <c r="Q563" s="2">
        <v>0</v>
      </c>
      <c r="R563" s="2">
        <v>29</v>
      </c>
      <c r="S563" s="2">
        <v>258</v>
      </c>
      <c r="T563" s="2">
        <v>43</v>
      </c>
      <c r="U563" s="2">
        <v>31</v>
      </c>
      <c r="V563" s="2">
        <v>754</v>
      </c>
      <c r="W563" s="3">
        <f>V563/S563</f>
        <v>2.9224806201550386</v>
      </c>
      <c r="X563" s="3">
        <f>V563/U563</f>
        <v>24.322580645161292</v>
      </c>
      <c r="Y563" s="4">
        <f>S563*6/U563</f>
        <v>49.935483870967744</v>
      </c>
      <c r="Z563" s="2">
        <v>7</v>
      </c>
      <c r="AA563" s="2">
        <v>1</v>
      </c>
      <c r="AB563" s="2">
        <v>0</v>
      </c>
      <c r="AC563" s="2">
        <v>4</v>
      </c>
    </row>
    <row r="564" spans="1:29" x14ac:dyDescent="0.35">
      <c r="A564" s="1" t="s">
        <v>637</v>
      </c>
      <c r="B564" s="1" t="s">
        <v>182</v>
      </c>
      <c r="C564">
        <f>D564+E564+F564+G564+H564+I564</f>
        <v>20</v>
      </c>
      <c r="D564" s="2">
        <v>0</v>
      </c>
      <c r="E564" s="2">
        <v>5</v>
      </c>
      <c r="F564" s="2">
        <v>0</v>
      </c>
      <c r="G564" s="2">
        <v>12</v>
      </c>
      <c r="H564" s="2">
        <v>1</v>
      </c>
      <c r="I564" s="2">
        <v>2</v>
      </c>
      <c r="J564" s="2">
        <v>21</v>
      </c>
      <c r="K564">
        <f>J564+L564</f>
        <v>21</v>
      </c>
      <c r="L564" s="2">
        <v>0</v>
      </c>
      <c r="M564" s="2">
        <v>0</v>
      </c>
      <c r="N564" s="2">
        <v>450</v>
      </c>
      <c r="O564" s="3">
        <f>N564/J564</f>
        <v>21.428571428571427</v>
      </c>
      <c r="P564" s="2">
        <v>2</v>
      </c>
      <c r="Q564" s="2">
        <v>0</v>
      </c>
      <c r="R564" s="2">
        <v>58</v>
      </c>
      <c r="S564" s="2">
        <v>5</v>
      </c>
      <c r="T564" s="2">
        <v>0</v>
      </c>
      <c r="U564" s="2">
        <v>0</v>
      </c>
      <c r="V564" s="2">
        <v>25</v>
      </c>
      <c r="W564" s="3">
        <f>V564/S564</f>
        <v>5</v>
      </c>
      <c r="X564" s="3" t="e">
        <f>V564/U564</f>
        <v>#DIV/0!</v>
      </c>
      <c r="Y564" s="4" t="e">
        <f>S564*6/U564</f>
        <v>#DIV/0!</v>
      </c>
      <c r="Z564" s="2">
        <v>0</v>
      </c>
      <c r="AA564" s="2">
        <v>0</v>
      </c>
      <c r="AB564" s="2">
        <v>0</v>
      </c>
      <c r="AC564" s="2">
        <v>4</v>
      </c>
    </row>
    <row r="565" spans="1:29" x14ac:dyDescent="0.35">
      <c r="A565" s="22" t="s">
        <v>1174</v>
      </c>
      <c r="B565" s="22" t="s">
        <v>1075</v>
      </c>
      <c r="C565" s="18">
        <f>D565+E565+F565+G565+H565+I565</f>
        <v>49</v>
      </c>
      <c r="D565" s="16">
        <v>0</v>
      </c>
      <c r="E565" s="16">
        <v>5</v>
      </c>
      <c r="F565" s="16">
        <v>27</v>
      </c>
      <c r="G565" s="16">
        <v>13</v>
      </c>
      <c r="H565" s="16">
        <v>4</v>
      </c>
      <c r="I565" s="16">
        <v>0</v>
      </c>
      <c r="J565" s="16">
        <v>29</v>
      </c>
      <c r="K565" s="18">
        <f>J565+L565</f>
        <v>44</v>
      </c>
      <c r="L565" s="16">
        <v>15</v>
      </c>
      <c r="M565" s="16">
        <v>6</v>
      </c>
      <c r="N565" s="16">
        <f>453+80</f>
        <v>533</v>
      </c>
      <c r="O565" s="19">
        <f>N565/J565</f>
        <v>18.379310344827587</v>
      </c>
      <c r="P565" s="16">
        <v>1</v>
      </c>
      <c r="Q565" s="16">
        <v>0</v>
      </c>
      <c r="R565" s="16">
        <v>65</v>
      </c>
      <c r="S565" s="22">
        <f>158.4+7</f>
        <v>165.4</v>
      </c>
      <c r="T565" s="22">
        <v>22</v>
      </c>
      <c r="U565" s="22">
        <v>25</v>
      </c>
      <c r="V565" s="22">
        <f>643+45</f>
        <v>688</v>
      </c>
      <c r="W565" s="19">
        <f>V565/S565</f>
        <v>4.1596130592503018</v>
      </c>
      <c r="X565" s="19">
        <f>V565/U565</f>
        <v>27.52</v>
      </c>
      <c r="Y565" s="19">
        <f>S565*6/U565</f>
        <v>39.696000000000005</v>
      </c>
      <c r="Z565" s="18" t="s">
        <v>1314</v>
      </c>
      <c r="AA565" s="22">
        <v>0</v>
      </c>
      <c r="AB565" s="22">
        <v>0</v>
      </c>
      <c r="AC565" s="22">
        <v>11</v>
      </c>
    </row>
    <row r="566" spans="1:29" x14ac:dyDescent="0.35">
      <c r="A566" s="34" t="s">
        <v>638</v>
      </c>
      <c r="B566" s="34" t="s">
        <v>330</v>
      </c>
      <c r="C566">
        <f>D566+E566+F566+G566+H566+I566</f>
        <v>11</v>
      </c>
      <c r="D566" s="5">
        <v>1</v>
      </c>
      <c r="E566" s="5">
        <v>6</v>
      </c>
      <c r="F566" s="5">
        <v>4</v>
      </c>
      <c r="G566" s="5">
        <v>0</v>
      </c>
      <c r="H566" s="5">
        <v>0</v>
      </c>
      <c r="I566" s="5">
        <v>0</v>
      </c>
      <c r="J566" s="5">
        <v>6</v>
      </c>
      <c r="K566">
        <f>J566+L566</f>
        <v>8</v>
      </c>
      <c r="L566" s="5">
        <v>2</v>
      </c>
      <c r="M566" s="5">
        <v>3</v>
      </c>
      <c r="N566" s="5">
        <v>64</v>
      </c>
      <c r="O566" s="3">
        <f>N566/J566</f>
        <v>10.666666666666666</v>
      </c>
      <c r="P566" s="5">
        <v>0</v>
      </c>
      <c r="Q566" s="5">
        <v>0</v>
      </c>
      <c r="R566" s="5">
        <v>14</v>
      </c>
      <c r="S566" s="40">
        <v>156</v>
      </c>
      <c r="T566" s="40">
        <v>29</v>
      </c>
      <c r="U566" s="40">
        <v>26</v>
      </c>
      <c r="V566" s="40">
        <v>422</v>
      </c>
      <c r="W566" s="3">
        <f>V566/S566</f>
        <v>2.7051282051282053</v>
      </c>
      <c r="X566" s="3">
        <f>V566/U566</f>
        <v>16.23076923076923</v>
      </c>
      <c r="Y566" s="4">
        <f>S566*6/U566</f>
        <v>36</v>
      </c>
      <c r="Z566" s="40">
        <v>6</v>
      </c>
      <c r="AA566" s="40">
        <v>1</v>
      </c>
      <c r="AB566" s="40">
        <v>0</v>
      </c>
      <c r="AC566" s="40">
        <v>1</v>
      </c>
    </row>
    <row r="567" spans="1:29" x14ac:dyDescent="0.35">
      <c r="A567" s="11" t="s">
        <v>1146</v>
      </c>
      <c r="B567" s="11" t="s">
        <v>1147</v>
      </c>
      <c r="C567">
        <f>D567+E567+F567+G567+H567+I567</f>
        <v>10</v>
      </c>
      <c r="D567" s="2">
        <v>0</v>
      </c>
      <c r="E567" s="2">
        <v>0</v>
      </c>
      <c r="F567" s="2">
        <v>0</v>
      </c>
      <c r="G567" s="2">
        <v>9</v>
      </c>
      <c r="H567" s="2">
        <v>1</v>
      </c>
      <c r="I567" s="2">
        <v>0</v>
      </c>
      <c r="J567" s="2">
        <v>3</v>
      </c>
      <c r="K567">
        <f>J567+L567</f>
        <v>7</v>
      </c>
      <c r="L567" s="2">
        <v>4</v>
      </c>
      <c r="M567" s="2">
        <v>2</v>
      </c>
      <c r="N567" s="2">
        <v>24</v>
      </c>
      <c r="O567" s="3">
        <f>N567/J567</f>
        <v>8</v>
      </c>
      <c r="P567" s="2">
        <v>0</v>
      </c>
      <c r="Q567" s="2">
        <v>0</v>
      </c>
      <c r="R567" s="11" t="s">
        <v>1148</v>
      </c>
      <c r="S567" s="11">
        <v>39</v>
      </c>
      <c r="T567" s="11">
        <v>1</v>
      </c>
      <c r="U567" s="11">
        <v>9</v>
      </c>
      <c r="V567" s="11">
        <v>219</v>
      </c>
      <c r="W567" s="3">
        <f>219/39</f>
        <v>5.615384615384615</v>
      </c>
      <c r="X567" s="3">
        <v>24.33</v>
      </c>
      <c r="Y567" s="4">
        <f>S567*6/U567</f>
        <v>26</v>
      </c>
      <c r="Z567" s="11" t="s">
        <v>1149</v>
      </c>
      <c r="AA567" s="2">
        <v>0</v>
      </c>
      <c r="AB567" s="2">
        <v>0</v>
      </c>
      <c r="AC567" s="2">
        <v>0</v>
      </c>
    </row>
    <row r="568" spans="1:29" x14ac:dyDescent="0.35">
      <c r="A568" s="34" t="s">
        <v>469</v>
      </c>
      <c r="B568" s="34" t="s">
        <v>639</v>
      </c>
      <c r="C568">
        <f>D568+E568+F568+G568+H568+I568</f>
        <v>64</v>
      </c>
      <c r="D568" s="5">
        <v>57</v>
      </c>
      <c r="E568" s="5">
        <v>2</v>
      </c>
      <c r="F568" s="5">
        <v>1</v>
      </c>
      <c r="G568" s="5">
        <v>2</v>
      </c>
      <c r="H568" s="5">
        <v>1</v>
      </c>
      <c r="I568" s="5">
        <v>1</v>
      </c>
      <c r="J568" s="5">
        <v>65</v>
      </c>
      <c r="K568">
        <f>J568+L568</f>
        <v>69</v>
      </c>
      <c r="L568" s="5">
        <v>4</v>
      </c>
      <c r="M568" s="5">
        <v>3</v>
      </c>
      <c r="N568" s="5">
        <v>1709</v>
      </c>
      <c r="O568" s="3">
        <f>N568/J568</f>
        <v>26.292307692307691</v>
      </c>
      <c r="P568" s="5">
        <v>7</v>
      </c>
      <c r="Q568" s="5">
        <v>2</v>
      </c>
      <c r="R568" s="40">
        <v>107</v>
      </c>
      <c r="S568" s="40">
        <v>23</v>
      </c>
      <c r="T568" s="40">
        <v>1</v>
      </c>
      <c r="U568" s="40">
        <v>1</v>
      </c>
      <c r="V568" s="40">
        <v>120</v>
      </c>
      <c r="W568" s="3">
        <f>V568/S568</f>
        <v>5.2173913043478262</v>
      </c>
      <c r="X568" s="3">
        <f>V568/U568</f>
        <v>120</v>
      </c>
      <c r="Y568" s="4">
        <f>S568*6/U568</f>
        <v>138</v>
      </c>
      <c r="Z568" s="40">
        <v>1</v>
      </c>
      <c r="AA568" s="5">
        <v>0</v>
      </c>
      <c r="AB568" s="5">
        <v>0</v>
      </c>
      <c r="AC568" s="5">
        <v>32</v>
      </c>
    </row>
    <row r="569" spans="1:29" x14ac:dyDescent="0.35">
      <c r="A569" s="1" t="s">
        <v>469</v>
      </c>
      <c r="B569" s="1" t="s">
        <v>146</v>
      </c>
      <c r="C569">
        <f>D569+E569+F569+G569+H569+I569</f>
        <v>107</v>
      </c>
      <c r="D569" s="2">
        <v>75</v>
      </c>
      <c r="E569" s="2">
        <v>11</v>
      </c>
      <c r="F569" s="2">
        <v>10</v>
      </c>
      <c r="G569" s="2">
        <v>7</v>
      </c>
      <c r="H569" s="2">
        <v>4</v>
      </c>
      <c r="I569" s="2">
        <v>0</v>
      </c>
      <c r="J569" s="2">
        <v>97</v>
      </c>
      <c r="K569">
        <f>J569+L569</f>
        <v>110</v>
      </c>
      <c r="L569" s="2">
        <v>13</v>
      </c>
      <c r="M569" s="2">
        <v>19</v>
      </c>
      <c r="N569" s="2">
        <v>2134</v>
      </c>
      <c r="O569" s="3">
        <f>N569/J569</f>
        <v>22</v>
      </c>
      <c r="P569" s="2">
        <v>9</v>
      </c>
      <c r="Q569" s="2">
        <v>2</v>
      </c>
      <c r="R569" s="2">
        <v>111</v>
      </c>
      <c r="S569" s="2">
        <v>257</v>
      </c>
      <c r="T569" s="2">
        <v>26</v>
      </c>
      <c r="U569" s="2">
        <v>43</v>
      </c>
      <c r="V569" s="2">
        <v>894</v>
      </c>
      <c r="W569" s="3">
        <f>V569/S569</f>
        <v>3.4785992217898833</v>
      </c>
      <c r="X569" s="3">
        <f>V569/U569</f>
        <v>20.790697674418606</v>
      </c>
      <c r="Y569" s="4">
        <f>S569*6/U569</f>
        <v>35.860465116279073</v>
      </c>
      <c r="Z569" s="2">
        <v>5</v>
      </c>
      <c r="AA569" s="2">
        <v>2</v>
      </c>
      <c r="AB569" s="2">
        <v>0</v>
      </c>
      <c r="AC569" s="2">
        <v>25</v>
      </c>
    </row>
    <row r="570" spans="1:29" x14ac:dyDescent="0.35">
      <c r="A570" s="1" t="s">
        <v>640</v>
      </c>
      <c r="B570" s="1" t="s">
        <v>24</v>
      </c>
      <c r="C570">
        <f>D570+E570+F570+G570+H570+I570</f>
        <v>102</v>
      </c>
      <c r="D570" s="2">
        <v>54</v>
      </c>
      <c r="E570" s="2">
        <v>17</v>
      </c>
      <c r="F570" s="2">
        <v>8</v>
      </c>
      <c r="G570" s="2">
        <v>20</v>
      </c>
      <c r="H570" s="2">
        <v>1</v>
      </c>
      <c r="I570" s="2">
        <v>2</v>
      </c>
      <c r="J570" s="2">
        <v>66</v>
      </c>
      <c r="K570">
        <f>J570+L570</f>
        <v>97</v>
      </c>
      <c r="L570" s="2">
        <v>31</v>
      </c>
      <c r="M570" s="2">
        <v>23</v>
      </c>
      <c r="N570" s="2">
        <v>1394</v>
      </c>
      <c r="O570" s="3">
        <f>N570/J570</f>
        <v>21.121212121212121</v>
      </c>
      <c r="P570" s="2">
        <v>7</v>
      </c>
      <c r="Q570" s="2">
        <v>0</v>
      </c>
      <c r="R570" s="2">
        <v>97</v>
      </c>
      <c r="S570" s="2">
        <v>1377</v>
      </c>
      <c r="T570" s="2">
        <v>362</v>
      </c>
      <c r="U570" s="2">
        <v>192</v>
      </c>
      <c r="V570" s="2">
        <v>3331</v>
      </c>
      <c r="W570" s="3">
        <f>V570/S570</f>
        <v>2.4190268700072624</v>
      </c>
      <c r="X570" s="3">
        <f>V570/U570</f>
        <v>17.348958333333332</v>
      </c>
      <c r="Y570" s="4">
        <f>S570*6/U570</f>
        <v>43.03125</v>
      </c>
      <c r="Z570" s="2">
        <v>7</v>
      </c>
      <c r="AA570" s="2">
        <v>9</v>
      </c>
      <c r="AB570" s="2">
        <v>1</v>
      </c>
      <c r="AC570" s="2">
        <v>19</v>
      </c>
    </row>
    <row r="571" spans="1:29" x14ac:dyDescent="0.35">
      <c r="A571" s="1" t="s">
        <v>641</v>
      </c>
      <c r="B571" s="1" t="s">
        <v>406</v>
      </c>
      <c r="C571">
        <f>D571+E571+F571+G571+H571+I571</f>
        <v>12</v>
      </c>
      <c r="D571" s="2">
        <v>0</v>
      </c>
      <c r="E571" s="2">
        <v>1</v>
      </c>
      <c r="F571" s="2">
        <v>10</v>
      </c>
      <c r="G571" s="2">
        <v>0</v>
      </c>
      <c r="H571" s="2">
        <v>1</v>
      </c>
      <c r="I571" s="2">
        <v>0</v>
      </c>
      <c r="J571" s="2">
        <v>8</v>
      </c>
      <c r="K571">
        <f>J571+L571</f>
        <v>9</v>
      </c>
      <c r="L571" s="2">
        <v>1</v>
      </c>
      <c r="M571" s="2">
        <v>3</v>
      </c>
      <c r="N571" s="2">
        <v>174</v>
      </c>
      <c r="O571" s="3">
        <f>N571/J571</f>
        <v>21.75</v>
      </c>
      <c r="P571" s="2">
        <v>1</v>
      </c>
      <c r="Q571" s="2">
        <v>0</v>
      </c>
      <c r="R571" s="2">
        <v>65</v>
      </c>
      <c r="S571" s="2">
        <v>12</v>
      </c>
      <c r="T571" s="2">
        <v>2</v>
      </c>
      <c r="U571" s="2">
        <v>0</v>
      </c>
      <c r="V571" s="2">
        <v>44</v>
      </c>
      <c r="W571" s="3">
        <f>V571/S571</f>
        <v>3.6666666666666665</v>
      </c>
      <c r="X571" s="3" t="e">
        <f>V571/U571</f>
        <v>#DIV/0!</v>
      </c>
      <c r="Y571" s="4" t="e">
        <f>S571*6/U571</f>
        <v>#DIV/0!</v>
      </c>
      <c r="Z571" s="2">
        <v>0</v>
      </c>
      <c r="AA571" s="2">
        <v>0</v>
      </c>
      <c r="AB571" s="2">
        <v>0</v>
      </c>
      <c r="AC571" s="2">
        <v>3</v>
      </c>
    </row>
    <row r="572" spans="1:29" x14ac:dyDescent="0.35">
      <c r="A572" s="1" t="s">
        <v>642</v>
      </c>
      <c r="B572" s="1" t="s">
        <v>8</v>
      </c>
      <c r="C572">
        <f>D572+E572+F572+G572+H572+I572</f>
        <v>3</v>
      </c>
      <c r="D572" s="2">
        <v>0</v>
      </c>
      <c r="E572" s="2">
        <v>0</v>
      </c>
      <c r="F572" s="2">
        <v>0</v>
      </c>
      <c r="G572" s="2">
        <v>0</v>
      </c>
      <c r="H572" s="2">
        <v>0</v>
      </c>
      <c r="I572" s="2">
        <v>3</v>
      </c>
      <c r="J572" s="2">
        <v>2</v>
      </c>
      <c r="K572">
        <f>J572+L572</f>
        <v>2</v>
      </c>
      <c r="L572" s="2">
        <v>0</v>
      </c>
      <c r="M572" s="2">
        <v>1</v>
      </c>
      <c r="N572" s="2">
        <v>29</v>
      </c>
      <c r="O572" s="3">
        <f>N572/J572</f>
        <v>14.5</v>
      </c>
      <c r="P572" s="2">
        <v>0</v>
      </c>
      <c r="Q572" s="2">
        <v>0</v>
      </c>
      <c r="R572" s="2">
        <v>20</v>
      </c>
      <c r="S572" s="2">
        <v>33</v>
      </c>
      <c r="T572" s="2">
        <v>5</v>
      </c>
      <c r="U572" s="2">
        <v>2</v>
      </c>
      <c r="V572" s="2">
        <v>84</v>
      </c>
      <c r="W572" s="3">
        <f>V572/S572</f>
        <v>2.5454545454545454</v>
      </c>
      <c r="X572" s="3">
        <f>V572/U572</f>
        <v>42</v>
      </c>
      <c r="Y572" s="4">
        <f>S572*6/U572</f>
        <v>99</v>
      </c>
      <c r="Z572" s="2">
        <v>1</v>
      </c>
      <c r="AA572" s="2">
        <v>0</v>
      </c>
      <c r="AB572" s="2">
        <v>0</v>
      </c>
      <c r="AC572" s="2">
        <v>0</v>
      </c>
    </row>
    <row r="573" spans="1:29" x14ac:dyDescent="0.35">
      <c r="A573" s="1" t="s">
        <v>643</v>
      </c>
      <c r="B573" s="1" t="s">
        <v>8</v>
      </c>
      <c r="C573">
        <f>D573+E573+F573+G573+H573+I573</f>
        <v>1</v>
      </c>
      <c r="D573" s="2">
        <v>0</v>
      </c>
      <c r="E573" s="2">
        <v>0</v>
      </c>
      <c r="F573" s="2">
        <v>0</v>
      </c>
      <c r="G573" s="2">
        <v>1</v>
      </c>
      <c r="H573" s="2">
        <v>0</v>
      </c>
      <c r="I573" s="2">
        <v>0</v>
      </c>
      <c r="J573" s="2">
        <v>0</v>
      </c>
      <c r="K573">
        <f>J573+L573</f>
        <v>0</v>
      </c>
      <c r="L573" s="2">
        <v>0</v>
      </c>
      <c r="M573" s="2">
        <v>1</v>
      </c>
      <c r="N573" s="2">
        <v>0</v>
      </c>
      <c r="O573" s="3" t="e">
        <f>N573/J573</f>
        <v>#DIV/0!</v>
      </c>
      <c r="P573" s="2">
        <v>0</v>
      </c>
      <c r="Q573" s="2">
        <v>0</v>
      </c>
      <c r="R573" s="2">
        <v>0</v>
      </c>
      <c r="S573" s="2">
        <v>7</v>
      </c>
      <c r="T573" s="2">
        <v>1</v>
      </c>
      <c r="U573" s="2">
        <v>3</v>
      </c>
      <c r="V573" s="2">
        <v>26</v>
      </c>
      <c r="W573" s="3">
        <f>V573/S573</f>
        <v>3.7142857142857144</v>
      </c>
      <c r="X573" s="3">
        <f>V573/U573</f>
        <v>8.6666666666666661</v>
      </c>
      <c r="Y573" s="4">
        <f>S573*6/U573</f>
        <v>14</v>
      </c>
      <c r="Z573" s="2">
        <v>3</v>
      </c>
      <c r="AA573" s="2">
        <v>0</v>
      </c>
      <c r="AB573" s="2">
        <v>0</v>
      </c>
      <c r="AC573" s="2">
        <v>0</v>
      </c>
    </row>
    <row r="574" spans="1:29" x14ac:dyDescent="0.35">
      <c r="A574" s="1" t="s">
        <v>644</v>
      </c>
      <c r="B574" s="1" t="s">
        <v>362</v>
      </c>
      <c r="C574">
        <f>D574+E574+F574+G574+H574+I574</f>
        <v>53</v>
      </c>
      <c r="D574" s="2">
        <v>0</v>
      </c>
      <c r="E574" s="2">
        <v>0</v>
      </c>
      <c r="F574" s="2">
        <v>0</v>
      </c>
      <c r="G574" s="2">
        <v>0</v>
      </c>
      <c r="H574" s="2">
        <v>2</v>
      </c>
      <c r="I574" s="2">
        <v>51</v>
      </c>
      <c r="J574" s="2">
        <v>52</v>
      </c>
      <c r="K574">
        <f>J574+L574</f>
        <v>57</v>
      </c>
      <c r="L574" s="2">
        <v>5</v>
      </c>
      <c r="M574" s="2">
        <v>3</v>
      </c>
      <c r="N574" s="2">
        <v>815</v>
      </c>
      <c r="O574" s="3">
        <f>N574/J574</f>
        <v>15.673076923076923</v>
      </c>
      <c r="P574" s="2">
        <v>4</v>
      </c>
      <c r="Q574" s="2">
        <v>0</v>
      </c>
      <c r="R574" s="2">
        <v>85</v>
      </c>
      <c r="S574" s="2">
        <v>5</v>
      </c>
      <c r="T574" s="2">
        <v>0</v>
      </c>
      <c r="U574" s="2">
        <v>1</v>
      </c>
      <c r="V574" s="2">
        <v>29</v>
      </c>
      <c r="W574" s="3">
        <f>V574/S574</f>
        <v>5.8</v>
      </c>
      <c r="X574" s="3">
        <f>V574/U574</f>
        <v>29</v>
      </c>
      <c r="Y574" s="4">
        <f>S574*6/U574</f>
        <v>30</v>
      </c>
      <c r="Z574" s="2">
        <v>1</v>
      </c>
      <c r="AA574" s="2">
        <v>0</v>
      </c>
      <c r="AB574" s="2">
        <v>0</v>
      </c>
      <c r="AC574" s="2">
        <v>4</v>
      </c>
    </row>
    <row r="575" spans="1:29" x14ac:dyDescent="0.35">
      <c r="A575" s="1" t="s">
        <v>645</v>
      </c>
      <c r="B575" s="1" t="s">
        <v>77</v>
      </c>
      <c r="C575">
        <f>D575+E575+F575+G575+H575+I575</f>
        <v>17</v>
      </c>
      <c r="D575" s="2">
        <v>0</v>
      </c>
      <c r="E575" s="2">
        <v>17</v>
      </c>
      <c r="F575" s="2">
        <v>0</v>
      </c>
      <c r="G575" s="2">
        <v>0</v>
      </c>
      <c r="H575" s="2">
        <v>0</v>
      </c>
      <c r="I575" s="2">
        <v>0</v>
      </c>
      <c r="J575" s="2">
        <v>13</v>
      </c>
      <c r="K575">
        <f>J575+L575</f>
        <v>17</v>
      </c>
      <c r="L575" s="2">
        <v>4</v>
      </c>
      <c r="M575" s="2">
        <v>1</v>
      </c>
      <c r="N575" s="2">
        <v>238</v>
      </c>
      <c r="O575" s="3">
        <f>N575/J575</f>
        <v>18.307692307692307</v>
      </c>
      <c r="P575" s="2">
        <v>0</v>
      </c>
      <c r="Q575" s="2">
        <v>0</v>
      </c>
      <c r="R575" s="2">
        <v>39</v>
      </c>
      <c r="S575" s="2">
        <v>165</v>
      </c>
      <c r="T575" s="2">
        <v>22</v>
      </c>
      <c r="U575" s="2">
        <v>17</v>
      </c>
      <c r="V575" s="2">
        <v>493</v>
      </c>
      <c r="W575" s="3">
        <f>V575/S575</f>
        <v>2.9878787878787878</v>
      </c>
      <c r="X575" s="3">
        <f>V575/U575</f>
        <v>29</v>
      </c>
      <c r="Y575" s="4">
        <f>S575*6/U575</f>
        <v>58.235294117647058</v>
      </c>
      <c r="Z575" s="2">
        <v>3</v>
      </c>
      <c r="AA575" s="2">
        <v>0</v>
      </c>
      <c r="AB575" s="2">
        <v>0</v>
      </c>
      <c r="AC575" s="2">
        <v>2</v>
      </c>
    </row>
    <row r="576" spans="1:29" x14ac:dyDescent="0.35">
      <c r="A576" s="1" t="s">
        <v>645</v>
      </c>
      <c r="B576" s="1" t="s">
        <v>646</v>
      </c>
      <c r="C576">
        <f>D576+E576+F576+G576+H576+I576</f>
        <v>1</v>
      </c>
      <c r="D576" s="2">
        <v>0</v>
      </c>
      <c r="E576" s="2">
        <v>0</v>
      </c>
      <c r="F576" s="2">
        <v>0</v>
      </c>
      <c r="G576" s="2">
        <v>1</v>
      </c>
      <c r="H576" s="2">
        <v>0</v>
      </c>
      <c r="I576" s="2">
        <v>0</v>
      </c>
      <c r="J576" s="2">
        <v>1</v>
      </c>
      <c r="K576">
        <f>J576+L576</f>
        <v>1</v>
      </c>
      <c r="L576" s="2">
        <v>0</v>
      </c>
      <c r="M576" s="2">
        <v>0</v>
      </c>
      <c r="N576" s="2">
        <v>3</v>
      </c>
      <c r="O576" s="3">
        <f>N576/J576</f>
        <v>3</v>
      </c>
      <c r="P576" s="2">
        <v>0</v>
      </c>
      <c r="Q576" s="2">
        <v>0</v>
      </c>
      <c r="R576" s="2">
        <v>3</v>
      </c>
      <c r="S576" s="2">
        <v>7</v>
      </c>
      <c r="T576" s="2">
        <v>2</v>
      </c>
      <c r="U576" s="2">
        <v>1</v>
      </c>
      <c r="V576" s="2">
        <v>20</v>
      </c>
      <c r="W576" s="3">
        <f>V576/S576</f>
        <v>2.8571428571428572</v>
      </c>
      <c r="X576" s="3">
        <f>V576/U576</f>
        <v>20</v>
      </c>
      <c r="Y576" s="4">
        <f>S576*6/U576</f>
        <v>42</v>
      </c>
      <c r="Z576" s="2">
        <v>1</v>
      </c>
      <c r="AA576" s="2">
        <v>0</v>
      </c>
      <c r="AB576" s="2">
        <v>0</v>
      </c>
      <c r="AC576" s="2">
        <v>0</v>
      </c>
    </row>
    <row r="577" spans="1:29" x14ac:dyDescent="0.35">
      <c r="A577" s="1" t="s">
        <v>645</v>
      </c>
      <c r="B577" s="1" t="s">
        <v>8</v>
      </c>
      <c r="C577">
        <f>D577+E577+F577+G577+H577+I577</f>
        <v>1</v>
      </c>
      <c r="D577" s="2">
        <v>0</v>
      </c>
      <c r="E577" s="2">
        <v>1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>
        <f>J577+L577</f>
        <v>0</v>
      </c>
      <c r="L577" s="2">
        <v>0</v>
      </c>
      <c r="M577" s="2">
        <v>1</v>
      </c>
      <c r="N577" s="2">
        <v>0</v>
      </c>
      <c r="O577" s="3" t="e">
        <f>N577/J577</f>
        <v>#DIV/0!</v>
      </c>
      <c r="P577" s="2">
        <v>0</v>
      </c>
      <c r="Q577" s="2">
        <v>0</v>
      </c>
      <c r="R577" s="2">
        <v>0</v>
      </c>
      <c r="S577" s="2">
        <v>10</v>
      </c>
      <c r="T577" s="2">
        <v>3</v>
      </c>
      <c r="U577" s="2">
        <v>0</v>
      </c>
      <c r="V577" s="2">
        <v>14</v>
      </c>
      <c r="W577" s="3">
        <f>V577/S577</f>
        <v>1.4</v>
      </c>
      <c r="X577" s="3" t="e">
        <f>V577/U577</f>
        <v>#DIV/0!</v>
      </c>
      <c r="Y577" s="4" t="e">
        <f>S577*6/U577</f>
        <v>#DIV/0!</v>
      </c>
      <c r="Z577" s="2">
        <v>0</v>
      </c>
      <c r="AA577" s="2">
        <v>0</v>
      </c>
      <c r="AB577" s="2">
        <v>0</v>
      </c>
      <c r="AC577" s="2">
        <v>0</v>
      </c>
    </row>
    <row r="578" spans="1:29" x14ac:dyDescent="0.35">
      <c r="A578" s="1" t="s">
        <v>647</v>
      </c>
      <c r="B578" s="1" t="s">
        <v>229</v>
      </c>
      <c r="C578">
        <f>D578+E578+F578+G578+H578+I578</f>
        <v>7</v>
      </c>
      <c r="D578" s="2">
        <v>0</v>
      </c>
      <c r="E578" s="2">
        <v>0</v>
      </c>
      <c r="F578" s="2">
        <v>6</v>
      </c>
      <c r="G578" s="2">
        <v>1</v>
      </c>
      <c r="H578" s="2">
        <v>0</v>
      </c>
      <c r="I578" s="2">
        <v>0</v>
      </c>
      <c r="J578" s="2">
        <v>8</v>
      </c>
      <c r="K578">
        <f>J578+L578</f>
        <v>8</v>
      </c>
      <c r="L578" s="2">
        <v>0</v>
      </c>
      <c r="M578" s="2">
        <v>0</v>
      </c>
      <c r="N578" s="2">
        <v>108</v>
      </c>
      <c r="O578" s="3">
        <f>N578/J578</f>
        <v>13.5</v>
      </c>
      <c r="P578" s="2">
        <v>0</v>
      </c>
      <c r="Q578" s="2">
        <v>0</v>
      </c>
      <c r="R578" s="2">
        <v>32</v>
      </c>
      <c r="S578" s="2">
        <v>0</v>
      </c>
      <c r="T578" s="2">
        <v>0</v>
      </c>
      <c r="U578" s="2">
        <v>0</v>
      </c>
      <c r="V578" s="2">
        <v>0</v>
      </c>
      <c r="W578" s="3" t="e">
        <f>V578/S578</f>
        <v>#DIV/0!</v>
      </c>
      <c r="X578" s="3" t="e">
        <f>V578/U578</f>
        <v>#DIV/0!</v>
      </c>
      <c r="Y578" s="4" t="e">
        <f>S578*6/U578</f>
        <v>#DIV/0!</v>
      </c>
      <c r="Z578" s="2">
        <v>0</v>
      </c>
      <c r="AA578" s="2">
        <v>0</v>
      </c>
      <c r="AB578" s="2">
        <v>0</v>
      </c>
      <c r="AC578" s="2">
        <v>0</v>
      </c>
    </row>
    <row r="579" spans="1:29" x14ac:dyDescent="0.35">
      <c r="A579" s="1" t="s">
        <v>648</v>
      </c>
      <c r="B579" s="1" t="s">
        <v>32</v>
      </c>
      <c r="C579">
        <f>D579+E579+F579+G579+H579+I579</f>
        <v>1</v>
      </c>
      <c r="D579" s="2">
        <v>0</v>
      </c>
      <c r="E579" s="2">
        <v>1</v>
      </c>
      <c r="F579" s="2">
        <v>0</v>
      </c>
      <c r="G579" s="2">
        <v>0</v>
      </c>
      <c r="H579" s="2">
        <v>0</v>
      </c>
      <c r="I579" s="2">
        <v>0</v>
      </c>
      <c r="J579" s="2">
        <v>1</v>
      </c>
      <c r="K579">
        <f>J579+L579</f>
        <v>1</v>
      </c>
      <c r="L579" s="2">
        <v>0</v>
      </c>
      <c r="M579" s="2">
        <v>1</v>
      </c>
      <c r="N579" s="2">
        <v>3</v>
      </c>
      <c r="O579" s="3">
        <f>N579/J579</f>
        <v>3</v>
      </c>
      <c r="P579" s="2">
        <v>0</v>
      </c>
      <c r="Q579" s="2">
        <v>0</v>
      </c>
      <c r="R579" s="2">
        <v>3</v>
      </c>
      <c r="S579" s="2">
        <v>0</v>
      </c>
      <c r="T579" s="2">
        <v>0</v>
      </c>
      <c r="U579" s="2">
        <v>0</v>
      </c>
      <c r="V579" s="2">
        <v>0</v>
      </c>
      <c r="W579" s="3" t="e">
        <f>V579/S579</f>
        <v>#DIV/0!</v>
      </c>
      <c r="X579" s="3" t="e">
        <f>V579/U579</f>
        <v>#DIV/0!</v>
      </c>
      <c r="Y579" s="4" t="e">
        <f>S579*6/U579</f>
        <v>#DIV/0!</v>
      </c>
      <c r="Z579" s="2">
        <v>0</v>
      </c>
      <c r="AA579" s="2">
        <v>0</v>
      </c>
      <c r="AB579" s="2">
        <v>0</v>
      </c>
      <c r="AC579" s="2">
        <v>0</v>
      </c>
    </row>
    <row r="580" spans="1:29" x14ac:dyDescent="0.35">
      <c r="A580" s="1" t="s">
        <v>649</v>
      </c>
      <c r="B580" s="1" t="s">
        <v>196</v>
      </c>
      <c r="C580">
        <f>D580+E580+F580+G580+H580+I580</f>
        <v>3</v>
      </c>
      <c r="D580" s="2">
        <v>0</v>
      </c>
      <c r="E580" s="2">
        <v>0</v>
      </c>
      <c r="F580" s="2">
        <v>3</v>
      </c>
      <c r="G580" s="2">
        <v>0</v>
      </c>
      <c r="H580" s="2">
        <v>0</v>
      </c>
      <c r="I580" s="2">
        <v>0</v>
      </c>
      <c r="J580" s="2">
        <v>4</v>
      </c>
      <c r="K580">
        <f>J580+L580</f>
        <v>4</v>
      </c>
      <c r="L580" s="2">
        <v>0</v>
      </c>
      <c r="M580" s="2">
        <v>1</v>
      </c>
      <c r="N580" s="2">
        <v>29</v>
      </c>
      <c r="O580" s="3">
        <f>N580/J580</f>
        <v>7.25</v>
      </c>
      <c r="P580" s="2">
        <v>0</v>
      </c>
      <c r="Q580" s="2">
        <v>0</v>
      </c>
      <c r="R580" s="2">
        <v>19</v>
      </c>
      <c r="S580" s="2">
        <v>22</v>
      </c>
      <c r="T580" s="2">
        <v>1</v>
      </c>
      <c r="U580" s="2">
        <v>4</v>
      </c>
      <c r="V580" s="2">
        <v>99</v>
      </c>
      <c r="W580" s="3">
        <f>V580/S580</f>
        <v>4.5</v>
      </c>
      <c r="X580" s="3">
        <f>V580/U580</f>
        <v>24.75</v>
      </c>
      <c r="Y580" s="4">
        <f>S580*6/U580</f>
        <v>33</v>
      </c>
      <c r="Z580" s="2">
        <v>3</v>
      </c>
      <c r="AA580" s="2">
        <v>0</v>
      </c>
      <c r="AB580" s="2">
        <v>0</v>
      </c>
      <c r="AC580" s="2">
        <v>0</v>
      </c>
    </row>
    <row r="581" spans="1:29" x14ac:dyDescent="0.35">
      <c r="A581" s="1" t="s">
        <v>650</v>
      </c>
      <c r="B581" s="1" t="s">
        <v>18</v>
      </c>
      <c r="C581">
        <f>D581+E581+F581+G581+H581+I581</f>
        <v>1</v>
      </c>
      <c r="D581" s="2">
        <v>0</v>
      </c>
      <c r="E581" s="2">
        <v>0</v>
      </c>
      <c r="F581" s="2">
        <v>1</v>
      </c>
      <c r="G581" s="2">
        <v>0</v>
      </c>
      <c r="H581" s="2">
        <v>0</v>
      </c>
      <c r="I581" s="2">
        <v>0</v>
      </c>
      <c r="J581" s="2">
        <v>0</v>
      </c>
      <c r="K581">
        <f>J581+L581</f>
        <v>0</v>
      </c>
      <c r="L581" s="2">
        <v>0</v>
      </c>
      <c r="M581" s="2">
        <v>1</v>
      </c>
      <c r="N581" s="2">
        <v>0</v>
      </c>
      <c r="O581" s="3" t="e">
        <f>N581/J581</f>
        <v>#DIV/0!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>
        <v>1</v>
      </c>
      <c r="V581" s="2">
        <v>0</v>
      </c>
      <c r="W581" s="3" t="e">
        <f>V581/S581</f>
        <v>#DIV/0!</v>
      </c>
      <c r="X581" s="3">
        <f>V581/U581</f>
        <v>0</v>
      </c>
      <c r="Y581" s="4">
        <f>S581*6/U581</f>
        <v>0</v>
      </c>
      <c r="Z581" s="2">
        <v>1</v>
      </c>
      <c r="AA581" s="2">
        <v>0</v>
      </c>
      <c r="AB581" s="2">
        <v>0</v>
      </c>
      <c r="AC581" s="2">
        <v>0</v>
      </c>
    </row>
    <row r="582" spans="1:29" x14ac:dyDescent="0.35">
      <c r="A582" s="11" t="s">
        <v>1246</v>
      </c>
      <c r="B582" s="11" t="s">
        <v>1247</v>
      </c>
      <c r="C582">
        <f>D582+E582+F582+G582+H582+I582</f>
        <v>1</v>
      </c>
      <c r="D582" s="2">
        <v>0</v>
      </c>
      <c r="E582" s="2">
        <v>0</v>
      </c>
      <c r="F582" s="2">
        <v>1</v>
      </c>
      <c r="G582" s="2">
        <v>0</v>
      </c>
      <c r="H582" s="2">
        <v>0</v>
      </c>
      <c r="I582" s="2">
        <v>0</v>
      </c>
      <c r="J582" s="2">
        <v>0</v>
      </c>
      <c r="K582">
        <f>J582+L582</f>
        <v>0</v>
      </c>
      <c r="L582" s="2">
        <v>0</v>
      </c>
      <c r="M582" s="2">
        <v>0</v>
      </c>
      <c r="N582" s="2">
        <v>0</v>
      </c>
      <c r="O582" s="3">
        <v>0</v>
      </c>
      <c r="P582" s="2">
        <v>0</v>
      </c>
      <c r="Q582" s="2">
        <v>0</v>
      </c>
      <c r="R582" s="2">
        <v>0</v>
      </c>
      <c r="S582" s="11">
        <v>7</v>
      </c>
      <c r="T582" s="11">
        <v>0</v>
      </c>
      <c r="U582" s="11">
        <v>4</v>
      </c>
      <c r="V582" s="11">
        <v>22</v>
      </c>
      <c r="W582" s="3">
        <f>22/7</f>
        <v>3.1428571428571428</v>
      </c>
      <c r="X582" s="3">
        <f>22/4</f>
        <v>5.5</v>
      </c>
      <c r="Y582" s="3">
        <f>42/4</f>
        <v>10.5</v>
      </c>
      <c r="Z582" s="11" t="s">
        <v>1248</v>
      </c>
      <c r="AA582" s="11">
        <v>0</v>
      </c>
      <c r="AB582" s="11">
        <v>0</v>
      </c>
      <c r="AC582" s="11">
        <v>0</v>
      </c>
    </row>
    <row r="583" spans="1:29" x14ac:dyDescent="0.35">
      <c r="A583" s="34" t="s">
        <v>651</v>
      </c>
      <c r="B583" s="34" t="s">
        <v>652</v>
      </c>
      <c r="C583">
        <f>D583+E583+F583+G583+H583+I583</f>
        <v>1</v>
      </c>
      <c r="D583" s="5">
        <v>0</v>
      </c>
      <c r="E583" s="5">
        <v>0</v>
      </c>
      <c r="F583" s="5">
        <v>1</v>
      </c>
      <c r="G583" s="5">
        <v>0</v>
      </c>
      <c r="H583" s="5">
        <v>0</v>
      </c>
      <c r="I583" s="5">
        <v>0</v>
      </c>
      <c r="J583" s="5">
        <v>0</v>
      </c>
      <c r="K583">
        <f>J583+L583</f>
        <v>0</v>
      </c>
      <c r="L583" s="5">
        <v>0</v>
      </c>
      <c r="M583" s="5">
        <v>1</v>
      </c>
      <c r="N583" s="5">
        <v>0</v>
      </c>
      <c r="O583" s="3" t="e">
        <f>N583/J583</f>
        <v>#DIV/0!</v>
      </c>
      <c r="P583" s="5">
        <v>0</v>
      </c>
      <c r="Q583" s="5">
        <v>0</v>
      </c>
      <c r="R583" s="5">
        <v>0</v>
      </c>
      <c r="S583" s="40">
        <v>8</v>
      </c>
      <c r="T583" s="40">
        <v>3</v>
      </c>
      <c r="U583" s="40">
        <v>0</v>
      </c>
      <c r="V583" s="40">
        <v>43</v>
      </c>
      <c r="W583" s="3">
        <f>V583/S583</f>
        <v>5.375</v>
      </c>
      <c r="X583" s="3" t="e">
        <f>V583/U583</f>
        <v>#DIV/0!</v>
      </c>
      <c r="Y583" s="4" t="e">
        <f>S583*6/U583</f>
        <v>#DIV/0!</v>
      </c>
      <c r="Z583" s="40">
        <v>0</v>
      </c>
      <c r="AA583" s="40">
        <v>0</v>
      </c>
      <c r="AB583" s="40">
        <v>0</v>
      </c>
      <c r="AC583" s="40">
        <v>0</v>
      </c>
    </row>
    <row r="584" spans="1:29" x14ac:dyDescent="0.35">
      <c r="A584" s="35" t="s">
        <v>1380</v>
      </c>
      <c r="B584" s="35" t="s">
        <v>1381</v>
      </c>
      <c r="C584">
        <f>D584+E584+F584+G584+H584+I584</f>
        <v>7</v>
      </c>
      <c r="D584" s="5">
        <v>0</v>
      </c>
      <c r="E584" s="5">
        <v>0</v>
      </c>
      <c r="F584" s="5">
        <v>1</v>
      </c>
      <c r="G584" s="5">
        <v>0</v>
      </c>
      <c r="H584" s="5">
        <v>6</v>
      </c>
      <c r="I584" s="5">
        <v>0</v>
      </c>
      <c r="J584" s="5">
        <v>5</v>
      </c>
      <c r="K584">
        <f>J584+L584</f>
        <v>5</v>
      </c>
      <c r="L584" s="5">
        <v>0</v>
      </c>
      <c r="M584" s="5">
        <v>2</v>
      </c>
      <c r="N584" s="5">
        <v>33</v>
      </c>
      <c r="O584" s="3">
        <f>N584/J584</f>
        <v>6.6</v>
      </c>
      <c r="P584" s="5">
        <v>0</v>
      </c>
      <c r="Q584" s="5">
        <v>0</v>
      </c>
      <c r="R584" s="5">
        <v>13</v>
      </c>
      <c r="S584" s="35">
        <v>1</v>
      </c>
      <c r="T584" s="35">
        <v>0</v>
      </c>
      <c r="U584" s="35">
        <v>0</v>
      </c>
      <c r="V584" s="35">
        <v>9</v>
      </c>
      <c r="W584" s="3">
        <f>V584/S584</f>
        <v>9</v>
      </c>
      <c r="X584" s="3">
        <v>0</v>
      </c>
      <c r="Y584" s="3">
        <v>0</v>
      </c>
      <c r="Z584" s="35" t="s">
        <v>1218</v>
      </c>
      <c r="AA584" s="35">
        <v>0</v>
      </c>
      <c r="AB584" s="35">
        <v>0</v>
      </c>
      <c r="AC584" s="40">
        <v>4</v>
      </c>
    </row>
    <row r="585" spans="1:29" x14ac:dyDescent="0.35">
      <c r="A585" s="1" t="s">
        <v>653</v>
      </c>
      <c r="B585" s="1" t="s">
        <v>654</v>
      </c>
      <c r="C585">
        <f>D585+E585+F585+G585+H585+I585</f>
        <v>1</v>
      </c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1</v>
      </c>
      <c r="J585" s="2">
        <v>0</v>
      </c>
      <c r="K585">
        <f>J585+L585</f>
        <v>0</v>
      </c>
      <c r="L585" s="2">
        <v>0</v>
      </c>
      <c r="M585" s="2">
        <v>1</v>
      </c>
      <c r="N585" s="2">
        <v>0</v>
      </c>
      <c r="O585" s="3" t="e">
        <f>N585/J585</f>
        <v>#DIV/0!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>
        <v>0</v>
      </c>
      <c r="V585" s="2">
        <v>0</v>
      </c>
      <c r="W585" s="3" t="e">
        <f>V585/S585</f>
        <v>#DIV/0!</v>
      </c>
      <c r="X585" s="3" t="e">
        <f>V585/U585</f>
        <v>#DIV/0!</v>
      </c>
      <c r="Y585" s="4" t="e">
        <f>S585*6/U585</f>
        <v>#DIV/0!</v>
      </c>
      <c r="Z585" s="2">
        <v>0</v>
      </c>
      <c r="AA585" s="2">
        <v>0</v>
      </c>
      <c r="AB585" s="2">
        <v>0</v>
      </c>
      <c r="AC585" s="2">
        <v>0</v>
      </c>
    </row>
    <row r="586" spans="1:29" x14ac:dyDescent="0.35">
      <c r="A586" s="35" t="s">
        <v>1444</v>
      </c>
      <c r="B586" s="35" t="s">
        <v>1445</v>
      </c>
      <c r="C586">
        <f>D586+E586+F586+G586+H586+I586</f>
        <v>2</v>
      </c>
      <c r="D586" s="5">
        <v>0</v>
      </c>
      <c r="E586" s="5">
        <v>0</v>
      </c>
      <c r="F586" s="5">
        <v>0</v>
      </c>
      <c r="G586" s="5">
        <v>0</v>
      </c>
      <c r="H586" s="5">
        <v>2</v>
      </c>
      <c r="I586" s="5">
        <v>0</v>
      </c>
      <c r="J586" s="5">
        <v>1</v>
      </c>
      <c r="K586">
        <f>J586+L586</f>
        <v>2</v>
      </c>
      <c r="L586" s="5">
        <v>1</v>
      </c>
      <c r="M586" s="5">
        <v>0</v>
      </c>
      <c r="N586" s="5">
        <v>8</v>
      </c>
      <c r="O586" s="3">
        <f>N586/J586</f>
        <v>8</v>
      </c>
      <c r="P586" s="5">
        <v>0</v>
      </c>
      <c r="Q586" s="5">
        <v>0</v>
      </c>
      <c r="R586" s="35" t="s">
        <v>1422</v>
      </c>
      <c r="S586" s="35">
        <v>10</v>
      </c>
      <c r="T586" s="35">
        <v>0</v>
      </c>
      <c r="U586" s="35">
        <v>3</v>
      </c>
      <c r="V586" s="35">
        <v>62</v>
      </c>
      <c r="W586" s="3">
        <v>6.2</v>
      </c>
      <c r="X586" s="3">
        <v>20.67</v>
      </c>
      <c r="Y586" s="4">
        <v>20</v>
      </c>
      <c r="Z586" s="35" t="s">
        <v>1446</v>
      </c>
      <c r="AA586" s="35">
        <v>0</v>
      </c>
      <c r="AB586" s="35">
        <v>0</v>
      </c>
      <c r="AC586" s="35">
        <v>0</v>
      </c>
    </row>
    <row r="587" spans="1:29" x14ac:dyDescent="0.35">
      <c r="A587" s="1" t="s">
        <v>655</v>
      </c>
      <c r="B587" s="1" t="s">
        <v>208</v>
      </c>
      <c r="C587">
        <f>D587+E587+F587+G587+H587+I587</f>
        <v>51</v>
      </c>
      <c r="D587" s="2">
        <v>0</v>
      </c>
      <c r="E587" s="2">
        <v>0</v>
      </c>
      <c r="F587" s="2">
        <v>0</v>
      </c>
      <c r="G587" s="2">
        <v>0</v>
      </c>
      <c r="H587" s="2">
        <v>5</v>
      </c>
      <c r="I587" s="2">
        <v>46</v>
      </c>
      <c r="J587" s="2">
        <v>42</v>
      </c>
      <c r="K587">
        <f>J587+L587</f>
        <v>45</v>
      </c>
      <c r="L587" s="2">
        <v>3</v>
      </c>
      <c r="M587" s="2">
        <v>10</v>
      </c>
      <c r="N587" s="2">
        <v>392</v>
      </c>
      <c r="O587" s="3">
        <f>N587/J587</f>
        <v>9.3333333333333339</v>
      </c>
      <c r="P587" s="2">
        <v>0</v>
      </c>
      <c r="Q587" s="2">
        <v>0</v>
      </c>
      <c r="R587" s="2">
        <v>40</v>
      </c>
      <c r="S587" s="2">
        <v>227</v>
      </c>
      <c r="T587" s="2">
        <v>40</v>
      </c>
      <c r="U587" s="2">
        <v>41</v>
      </c>
      <c r="V587" s="2">
        <v>813</v>
      </c>
      <c r="W587" s="3">
        <f>V587/S587</f>
        <v>3.5814977973568283</v>
      </c>
      <c r="X587" s="3">
        <f>V587/U587</f>
        <v>19.829268292682926</v>
      </c>
      <c r="Y587" s="4">
        <f>S587*6/U587</f>
        <v>33.219512195121951</v>
      </c>
      <c r="Z587" s="2">
        <v>7</v>
      </c>
      <c r="AA587" s="2">
        <v>1</v>
      </c>
      <c r="AB587" s="2">
        <v>0</v>
      </c>
      <c r="AC587" s="2">
        <v>7</v>
      </c>
    </row>
    <row r="588" spans="1:29" x14ac:dyDescent="0.35">
      <c r="A588" s="1" t="s">
        <v>655</v>
      </c>
      <c r="B588" s="1" t="s">
        <v>585</v>
      </c>
      <c r="C588">
        <f>D588+E588+F588+G588+H588+I588</f>
        <v>1</v>
      </c>
      <c r="D588" s="2">
        <v>0</v>
      </c>
      <c r="E588" s="2">
        <v>0</v>
      </c>
      <c r="F588" s="2">
        <v>0</v>
      </c>
      <c r="G588" s="2">
        <v>0</v>
      </c>
      <c r="H588" s="2">
        <v>0</v>
      </c>
      <c r="I588" s="2">
        <v>1</v>
      </c>
      <c r="J588" s="2">
        <v>0</v>
      </c>
      <c r="K588">
        <f>J588+L588</f>
        <v>1</v>
      </c>
      <c r="L588" s="2">
        <v>1</v>
      </c>
      <c r="M588" s="2">
        <v>0</v>
      </c>
      <c r="N588" s="2">
        <v>6</v>
      </c>
      <c r="O588" s="3" t="e">
        <f>N588/J588</f>
        <v>#DIV/0!</v>
      </c>
      <c r="P588" s="2">
        <v>0</v>
      </c>
      <c r="Q588" s="2">
        <v>0</v>
      </c>
      <c r="R588" s="2">
        <v>6</v>
      </c>
      <c r="S588" s="2">
        <v>0</v>
      </c>
      <c r="T588" s="2">
        <v>0</v>
      </c>
      <c r="U588" s="2">
        <v>0</v>
      </c>
      <c r="V588" s="2">
        <v>0</v>
      </c>
      <c r="W588" s="3" t="e">
        <f>V588/S588</f>
        <v>#DIV/0!</v>
      </c>
      <c r="X588" s="3" t="e">
        <f>V588/U588</f>
        <v>#DIV/0!</v>
      </c>
      <c r="Y588" s="4" t="e">
        <f>S588*6/U588</f>
        <v>#DIV/0!</v>
      </c>
      <c r="Z588" s="2">
        <v>0</v>
      </c>
      <c r="AA588" s="2">
        <v>0</v>
      </c>
      <c r="AB588" s="2">
        <v>0</v>
      </c>
      <c r="AC588" s="2">
        <v>0</v>
      </c>
    </row>
    <row r="589" spans="1:29" x14ac:dyDescent="0.35">
      <c r="A589" s="1" t="s">
        <v>656</v>
      </c>
      <c r="B589" s="1" t="s">
        <v>130</v>
      </c>
      <c r="C589">
        <f>D589+E589+F589+G589+H589+I589</f>
        <v>4</v>
      </c>
      <c r="D589" s="2">
        <v>0</v>
      </c>
      <c r="E589" s="2">
        <v>0</v>
      </c>
      <c r="F589" s="2">
        <v>0</v>
      </c>
      <c r="G589" s="2">
        <v>0</v>
      </c>
      <c r="H589" s="2">
        <v>2</v>
      </c>
      <c r="I589" s="2">
        <v>2</v>
      </c>
      <c r="J589" s="2">
        <v>3</v>
      </c>
      <c r="K589">
        <f>J589+L589</f>
        <v>4</v>
      </c>
      <c r="L589" s="2">
        <v>1</v>
      </c>
      <c r="M589" s="2">
        <v>0</v>
      </c>
      <c r="N589" s="2">
        <v>123</v>
      </c>
      <c r="O589" s="3">
        <f>N589/J589</f>
        <v>41</v>
      </c>
      <c r="P589" s="2">
        <v>1</v>
      </c>
      <c r="Q589" s="2">
        <v>0</v>
      </c>
      <c r="R589" s="2">
        <v>67</v>
      </c>
      <c r="S589" s="2">
        <v>1</v>
      </c>
      <c r="T589" s="2">
        <v>0</v>
      </c>
      <c r="U589" s="2">
        <v>0</v>
      </c>
      <c r="V589" s="2">
        <v>9</v>
      </c>
      <c r="W589" s="3">
        <f>V589/S589</f>
        <v>9</v>
      </c>
      <c r="X589" s="3" t="e">
        <f>V589/U589</f>
        <v>#DIV/0!</v>
      </c>
      <c r="Y589" s="4" t="e">
        <f>S589*6/U589</f>
        <v>#DIV/0!</v>
      </c>
      <c r="Z589" s="2">
        <v>0</v>
      </c>
      <c r="AA589" s="2">
        <v>0</v>
      </c>
      <c r="AB589" s="2">
        <v>0</v>
      </c>
      <c r="AC589" s="2">
        <v>4</v>
      </c>
    </row>
    <row r="590" spans="1:29" x14ac:dyDescent="0.35">
      <c r="A590" s="1" t="s">
        <v>657</v>
      </c>
      <c r="B590" s="1" t="s">
        <v>658</v>
      </c>
      <c r="C590">
        <f>D590+E590+F590+G590+H590+I590</f>
        <v>1</v>
      </c>
      <c r="D590" s="2">
        <v>0</v>
      </c>
      <c r="E590" s="2">
        <v>1</v>
      </c>
      <c r="F590" s="2">
        <v>0</v>
      </c>
      <c r="G590" s="2">
        <v>0</v>
      </c>
      <c r="H590" s="2">
        <v>0</v>
      </c>
      <c r="I590" s="2">
        <v>0</v>
      </c>
      <c r="J590" s="2">
        <v>1</v>
      </c>
      <c r="K590">
        <f>J590+L590</f>
        <v>1</v>
      </c>
      <c r="L590" s="2">
        <v>0</v>
      </c>
      <c r="M590" s="2">
        <v>0</v>
      </c>
      <c r="N590" s="2">
        <v>48</v>
      </c>
      <c r="O590" s="3">
        <f>N590/J590</f>
        <v>48</v>
      </c>
      <c r="P590" s="2">
        <v>0</v>
      </c>
      <c r="Q590" s="2">
        <v>0</v>
      </c>
      <c r="R590" s="2">
        <v>48</v>
      </c>
      <c r="S590" s="2">
        <v>3</v>
      </c>
      <c r="T590" s="2">
        <v>0</v>
      </c>
      <c r="U590" s="2">
        <v>0</v>
      </c>
      <c r="V590" s="2">
        <v>13</v>
      </c>
      <c r="W590" s="3">
        <f>V590/S590</f>
        <v>4.333333333333333</v>
      </c>
      <c r="X590" s="3" t="e">
        <f>V590/U590</f>
        <v>#DIV/0!</v>
      </c>
      <c r="Y590" s="4" t="e">
        <f>S590*6/U590</f>
        <v>#DIV/0!</v>
      </c>
      <c r="Z590" s="2">
        <v>0</v>
      </c>
      <c r="AA590" s="2">
        <v>0</v>
      </c>
      <c r="AB590" s="2">
        <v>0</v>
      </c>
      <c r="AC590" s="2">
        <v>0</v>
      </c>
    </row>
    <row r="591" spans="1:29" x14ac:dyDescent="0.35">
      <c r="A591" s="1" t="s">
        <v>659</v>
      </c>
      <c r="B591" s="1" t="s">
        <v>588</v>
      </c>
      <c r="C591">
        <f>D591+E591+F591+G591+H591+I591</f>
        <v>1</v>
      </c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1</v>
      </c>
      <c r="J591" s="2">
        <v>1</v>
      </c>
      <c r="K591">
        <f>J591+L591</f>
        <v>1</v>
      </c>
      <c r="L591" s="2">
        <v>0</v>
      </c>
      <c r="M591" s="2">
        <v>0</v>
      </c>
      <c r="N591" s="2">
        <v>1</v>
      </c>
      <c r="O591" s="3">
        <f>N591/J591</f>
        <v>1</v>
      </c>
      <c r="P591" s="2">
        <v>0</v>
      </c>
      <c r="Q591" s="2">
        <v>0</v>
      </c>
      <c r="R591" s="2">
        <v>1</v>
      </c>
      <c r="S591" s="2">
        <v>6</v>
      </c>
      <c r="T591" s="2">
        <v>0</v>
      </c>
      <c r="U591" s="2">
        <v>0</v>
      </c>
      <c r="V591" s="2">
        <v>17</v>
      </c>
      <c r="W591" s="3">
        <f>V591/S591</f>
        <v>2.8333333333333335</v>
      </c>
      <c r="X591" s="3" t="e">
        <f>V591/U591</f>
        <v>#DIV/0!</v>
      </c>
      <c r="Y591" s="4" t="e">
        <f>S591*6/U591</f>
        <v>#DIV/0!</v>
      </c>
      <c r="Z591" s="2">
        <v>0</v>
      </c>
      <c r="AA591" s="2">
        <v>0</v>
      </c>
      <c r="AB591" s="2">
        <v>0</v>
      </c>
      <c r="AC591" s="2">
        <v>0</v>
      </c>
    </row>
    <row r="592" spans="1:29" x14ac:dyDescent="0.35">
      <c r="A592" s="1" t="s">
        <v>659</v>
      </c>
      <c r="B592" s="1" t="s">
        <v>134</v>
      </c>
      <c r="C592">
        <f>D592+E592+F592+G592+H592+I592</f>
        <v>1</v>
      </c>
      <c r="D592" s="2">
        <v>0</v>
      </c>
      <c r="E592" s="2">
        <v>0</v>
      </c>
      <c r="F592" s="2">
        <v>0</v>
      </c>
      <c r="G592" s="2">
        <v>0</v>
      </c>
      <c r="H592" s="2">
        <v>0</v>
      </c>
      <c r="I592" s="2">
        <v>1</v>
      </c>
      <c r="J592" s="2">
        <v>0</v>
      </c>
      <c r="K592">
        <f>J592+L592</f>
        <v>0</v>
      </c>
      <c r="L592" s="2">
        <v>0</v>
      </c>
      <c r="M592" s="2">
        <v>1</v>
      </c>
      <c r="N592" s="2">
        <v>0</v>
      </c>
      <c r="O592" s="3" t="e">
        <f>N592/J592</f>
        <v>#DIV/0!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>
        <v>0</v>
      </c>
      <c r="V592" s="2">
        <v>0</v>
      </c>
      <c r="W592" s="3" t="e">
        <f>V592/S592</f>
        <v>#DIV/0!</v>
      </c>
      <c r="X592" s="3" t="e">
        <f>V592/U592</f>
        <v>#DIV/0!</v>
      </c>
      <c r="Y592" s="4" t="e">
        <f>S592*6/U592</f>
        <v>#DIV/0!</v>
      </c>
      <c r="Z592" s="2">
        <v>0</v>
      </c>
      <c r="AA592" s="2">
        <v>0</v>
      </c>
      <c r="AB592" s="2">
        <v>0</v>
      </c>
      <c r="AC592" s="2">
        <v>0</v>
      </c>
    </row>
    <row r="593" spans="1:29" x14ac:dyDescent="0.35">
      <c r="A593" s="1" t="s">
        <v>660</v>
      </c>
      <c r="B593" s="1" t="s">
        <v>661</v>
      </c>
      <c r="C593">
        <f>D593+E593+F593+G593+H593+I593</f>
        <v>39</v>
      </c>
      <c r="D593" s="2">
        <v>0</v>
      </c>
      <c r="E593" s="2">
        <v>0</v>
      </c>
      <c r="F593" s="2">
        <v>0</v>
      </c>
      <c r="G593" s="2">
        <v>2</v>
      </c>
      <c r="H593" s="2">
        <v>37</v>
      </c>
      <c r="I593" s="2">
        <v>0</v>
      </c>
      <c r="J593" s="2">
        <v>42</v>
      </c>
      <c r="K593">
        <f>J593+L593</f>
        <v>43</v>
      </c>
      <c r="L593" s="2">
        <v>1</v>
      </c>
      <c r="M593" s="2">
        <v>1</v>
      </c>
      <c r="N593" s="2">
        <v>1512</v>
      </c>
      <c r="O593" s="3">
        <f>N593/J593</f>
        <v>36</v>
      </c>
      <c r="P593" s="2">
        <v>9</v>
      </c>
      <c r="Q593" s="2">
        <v>3</v>
      </c>
      <c r="R593" s="2">
        <v>131</v>
      </c>
      <c r="S593" s="2">
        <v>224</v>
      </c>
      <c r="T593" s="2">
        <v>30</v>
      </c>
      <c r="U593" s="2">
        <v>21</v>
      </c>
      <c r="V593" s="2">
        <v>866</v>
      </c>
      <c r="W593" s="3">
        <f>V593/S593</f>
        <v>3.8660714285714284</v>
      </c>
      <c r="X593" s="3">
        <f>V593/U593</f>
        <v>41.238095238095241</v>
      </c>
      <c r="Y593" s="4">
        <f>S593*6/U593</f>
        <v>64</v>
      </c>
      <c r="Z593" s="2">
        <v>3</v>
      </c>
      <c r="AA593" s="2">
        <v>0</v>
      </c>
      <c r="AB593" s="2">
        <v>0</v>
      </c>
      <c r="AC593" s="2">
        <v>18</v>
      </c>
    </row>
    <row r="594" spans="1:29" x14ac:dyDescent="0.35">
      <c r="A594" s="1" t="s">
        <v>662</v>
      </c>
      <c r="B594" s="1" t="s">
        <v>663</v>
      </c>
      <c r="C594">
        <f>D594+E594+F594+G594+H594+I594</f>
        <v>12</v>
      </c>
      <c r="D594" s="2">
        <v>0</v>
      </c>
      <c r="E594" s="2">
        <v>0</v>
      </c>
      <c r="F594" s="2">
        <v>12</v>
      </c>
      <c r="G594" s="2">
        <v>0</v>
      </c>
      <c r="H594" s="2">
        <v>0</v>
      </c>
      <c r="I594" s="2">
        <v>0</v>
      </c>
      <c r="J594" s="2">
        <v>7</v>
      </c>
      <c r="K594">
        <f>J594+L594</f>
        <v>8</v>
      </c>
      <c r="L594" s="2">
        <v>1</v>
      </c>
      <c r="M594" s="2">
        <v>5</v>
      </c>
      <c r="N594" s="2">
        <v>17</v>
      </c>
      <c r="O594" s="3">
        <f>N594/J594</f>
        <v>2.4285714285714284</v>
      </c>
      <c r="P594" s="2">
        <v>0</v>
      </c>
      <c r="Q594" s="2">
        <v>0</v>
      </c>
      <c r="R594" s="2">
        <v>8</v>
      </c>
      <c r="S594" s="2">
        <v>71</v>
      </c>
      <c r="T594" s="2">
        <v>6</v>
      </c>
      <c r="U594" s="2">
        <v>12</v>
      </c>
      <c r="V594" s="2">
        <v>275</v>
      </c>
      <c r="W594" s="3">
        <f>V594/S594</f>
        <v>3.8732394366197185</v>
      </c>
      <c r="X594" s="3">
        <f>V594/U594</f>
        <v>22.916666666666668</v>
      </c>
      <c r="Y594" s="4">
        <f>S594*6/U594</f>
        <v>35.5</v>
      </c>
      <c r="Z594" s="2">
        <v>2</v>
      </c>
      <c r="AA594" s="2">
        <v>0</v>
      </c>
      <c r="AB594" s="2">
        <v>0</v>
      </c>
      <c r="AC594" s="2">
        <v>0</v>
      </c>
    </row>
    <row r="595" spans="1:29" x14ac:dyDescent="0.35">
      <c r="A595" s="1" t="s">
        <v>664</v>
      </c>
      <c r="B595" s="1" t="s">
        <v>661</v>
      </c>
      <c r="C595">
        <f>D595+E595+F595+G595+H595+I595</f>
        <v>9</v>
      </c>
      <c r="D595" s="2">
        <v>0</v>
      </c>
      <c r="E595" s="2">
        <v>0</v>
      </c>
      <c r="F595" s="2">
        <v>0</v>
      </c>
      <c r="G595" s="2">
        <v>1</v>
      </c>
      <c r="H595" s="2">
        <v>6</v>
      </c>
      <c r="I595" s="2">
        <v>2</v>
      </c>
      <c r="J595" s="2">
        <v>9</v>
      </c>
      <c r="K595">
        <f>J595+L595</f>
        <v>10</v>
      </c>
      <c r="L595" s="2">
        <v>1</v>
      </c>
      <c r="M595" s="2">
        <v>1</v>
      </c>
      <c r="N595" s="2">
        <v>121</v>
      </c>
      <c r="O595" s="3">
        <f>N595/J595</f>
        <v>13.444444444444445</v>
      </c>
      <c r="P595" s="2">
        <v>0</v>
      </c>
      <c r="Q595" s="2">
        <v>0</v>
      </c>
      <c r="R595" s="2">
        <v>24</v>
      </c>
      <c r="S595" s="2">
        <v>7</v>
      </c>
      <c r="T595" s="2">
        <v>2</v>
      </c>
      <c r="U595" s="2">
        <v>0</v>
      </c>
      <c r="V595" s="2">
        <v>19</v>
      </c>
      <c r="W595" s="3">
        <f>V595/S595</f>
        <v>2.7142857142857144</v>
      </c>
      <c r="X595" s="3" t="e">
        <f>V595/U595</f>
        <v>#DIV/0!</v>
      </c>
      <c r="Y595" s="4" t="e">
        <f>S595*6/U595</f>
        <v>#DIV/0!</v>
      </c>
      <c r="Z595" s="2">
        <v>0</v>
      </c>
      <c r="AA595" s="2">
        <v>0</v>
      </c>
      <c r="AB595" s="2">
        <v>0</v>
      </c>
      <c r="AC595" s="2">
        <v>5</v>
      </c>
    </row>
    <row r="596" spans="1:29" x14ac:dyDescent="0.35">
      <c r="A596" s="1" t="s">
        <v>665</v>
      </c>
      <c r="B596" s="1" t="s">
        <v>18</v>
      </c>
      <c r="C596">
        <f>D596+E596+F596+G596+H596+I596</f>
        <v>40</v>
      </c>
      <c r="D596" s="2">
        <v>14</v>
      </c>
      <c r="E596" s="2">
        <v>26</v>
      </c>
      <c r="F596" s="2">
        <v>0</v>
      </c>
      <c r="G596" s="2">
        <v>0</v>
      </c>
      <c r="H596" s="2">
        <v>0</v>
      </c>
      <c r="I596" s="2">
        <v>0</v>
      </c>
      <c r="J596" s="2">
        <v>16</v>
      </c>
      <c r="K596">
        <f>J596+L596</f>
        <v>31</v>
      </c>
      <c r="L596" s="2">
        <v>15</v>
      </c>
      <c r="M596" s="2">
        <v>14</v>
      </c>
      <c r="N596" s="2">
        <v>336</v>
      </c>
      <c r="O596" s="3">
        <f>N596/J596</f>
        <v>21</v>
      </c>
      <c r="P596" s="2">
        <v>2</v>
      </c>
      <c r="Q596" s="2">
        <v>0</v>
      </c>
      <c r="R596" s="2">
        <v>58</v>
      </c>
      <c r="S596" s="2">
        <v>437</v>
      </c>
      <c r="T596" s="2">
        <v>105</v>
      </c>
      <c r="U596" s="2">
        <v>52</v>
      </c>
      <c r="V596" s="2">
        <v>1134</v>
      </c>
      <c r="W596" s="3">
        <f>V596/S596</f>
        <v>2.5949656750572081</v>
      </c>
      <c r="X596" s="3">
        <f>V596/U596</f>
        <v>21.807692307692307</v>
      </c>
      <c r="Y596" s="4">
        <f>S596*6/U596</f>
        <v>50.42307692307692</v>
      </c>
      <c r="Z596" s="2">
        <v>6</v>
      </c>
      <c r="AA596" s="2">
        <v>1</v>
      </c>
      <c r="AB596" s="2">
        <v>0</v>
      </c>
      <c r="AC596" s="2">
        <v>9</v>
      </c>
    </row>
    <row r="597" spans="1:29" x14ac:dyDescent="0.35">
      <c r="A597" s="1" t="s">
        <v>666</v>
      </c>
      <c r="B597" s="1" t="s">
        <v>667</v>
      </c>
      <c r="C597">
        <f>D597+E597+F597+G597+H597+I597</f>
        <v>2</v>
      </c>
      <c r="D597" s="2">
        <v>0</v>
      </c>
      <c r="E597" s="2">
        <v>0</v>
      </c>
      <c r="F597" s="2">
        <v>0</v>
      </c>
      <c r="G597" s="2">
        <v>2</v>
      </c>
      <c r="H597" s="2">
        <v>0</v>
      </c>
      <c r="I597" s="2">
        <v>0</v>
      </c>
      <c r="J597" s="2">
        <v>1</v>
      </c>
      <c r="K597">
        <f>J597+L597</f>
        <v>1</v>
      </c>
      <c r="L597" s="2">
        <v>0</v>
      </c>
      <c r="M597" s="2">
        <v>1</v>
      </c>
      <c r="N597" s="2">
        <v>20</v>
      </c>
      <c r="O597" s="3">
        <f>N597/J597</f>
        <v>20</v>
      </c>
      <c r="P597" s="2">
        <v>0</v>
      </c>
      <c r="Q597" s="2">
        <v>0</v>
      </c>
      <c r="R597" s="2">
        <v>20</v>
      </c>
      <c r="S597" s="2">
        <v>9</v>
      </c>
      <c r="T597" s="2">
        <v>0</v>
      </c>
      <c r="U597" s="2">
        <v>3</v>
      </c>
      <c r="V597" s="2">
        <v>44</v>
      </c>
      <c r="W597" s="3">
        <f>V597/S597</f>
        <v>4.8888888888888893</v>
      </c>
      <c r="X597" s="3">
        <f>V597/U597</f>
        <v>14.666666666666666</v>
      </c>
      <c r="Y597" s="4">
        <f>S597*6/U597</f>
        <v>18</v>
      </c>
      <c r="Z597" s="2">
        <v>3</v>
      </c>
      <c r="AA597" s="2">
        <v>0</v>
      </c>
      <c r="AB597" s="2">
        <v>0</v>
      </c>
      <c r="AC597" s="2">
        <v>0</v>
      </c>
    </row>
    <row r="598" spans="1:29" x14ac:dyDescent="0.35">
      <c r="A598" s="1" t="s">
        <v>668</v>
      </c>
      <c r="B598" s="1" t="s">
        <v>124</v>
      </c>
      <c r="C598">
        <f>D598+E598+F598+G598+H598+I598</f>
        <v>53</v>
      </c>
      <c r="D598" s="2">
        <v>0</v>
      </c>
      <c r="E598" s="2">
        <v>22</v>
      </c>
      <c r="F598" s="2">
        <v>10</v>
      </c>
      <c r="G598" s="2">
        <v>9</v>
      </c>
      <c r="H598" s="2">
        <v>9</v>
      </c>
      <c r="I598" s="2">
        <v>3</v>
      </c>
      <c r="J598" s="2">
        <v>45</v>
      </c>
      <c r="K598">
        <f>J598+L598</f>
        <v>55</v>
      </c>
      <c r="L598" s="2">
        <v>10</v>
      </c>
      <c r="M598" s="2">
        <v>11</v>
      </c>
      <c r="N598" s="2">
        <v>498</v>
      </c>
      <c r="O598" s="3">
        <f>N598/J598</f>
        <v>11.066666666666666</v>
      </c>
      <c r="P598" s="2">
        <v>0</v>
      </c>
      <c r="Q598" s="2">
        <v>0</v>
      </c>
      <c r="R598" s="2">
        <v>45</v>
      </c>
      <c r="S598" s="2">
        <v>34</v>
      </c>
      <c r="T598" s="2">
        <v>4</v>
      </c>
      <c r="U598" s="2">
        <v>9</v>
      </c>
      <c r="V598" s="2">
        <v>158</v>
      </c>
      <c r="W598" s="3">
        <f>V598/S598</f>
        <v>4.6470588235294121</v>
      </c>
      <c r="X598" s="3">
        <f>V598/U598</f>
        <v>17.555555555555557</v>
      </c>
      <c r="Y598" s="4">
        <f>S598*6/U598</f>
        <v>22.666666666666668</v>
      </c>
      <c r="Z598" s="2">
        <v>3</v>
      </c>
      <c r="AA598" s="2">
        <v>0</v>
      </c>
      <c r="AB598" s="2">
        <v>0</v>
      </c>
      <c r="AC598" s="2">
        <v>51</v>
      </c>
    </row>
    <row r="599" spans="1:29" x14ac:dyDescent="0.35">
      <c r="A599" s="1" t="s">
        <v>668</v>
      </c>
      <c r="B599" s="1" t="s">
        <v>670</v>
      </c>
      <c r="C599">
        <f>D599+E599+F599+G599+H599+I599</f>
        <v>32</v>
      </c>
      <c r="D599" s="2">
        <v>0</v>
      </c>
      <c r="E599" s="2">
        <v>0</v>
      </c>
      <c r="F599" s="2">
        <v>2</v>
      </c>
      <c r="G599" s="2">
        <v>19</v>
      </c>
      <c r="H599" s="2">
        <v>9</v>
      </c>
      <c r="I599" s="2">
        <v>2</v>
      </c>
      <c r="J599" s="2">
        <v>23</v>
      </c>
      <c r="K599">
        <f>J599+L599</f>
        <v>29</v>
      </c>
      <c r="L599" s="2">
        <v>6</v>
      </c>
      <c r="M599" s="2">
        <v>4</v>
      </c>
      <c r="N599" s="2">
        <v>506</v>
      </c>
      <c r="O599" s="3">
        <f>N599/J599</f>
        <v>22</v>
      </c>
      <c r="P599" s="2">
        <v>2</v>
      </c>
      <c r="Q599" s="2">
        <v>1</v>
      </c>
      <c r="R599" s="2">
        <v>105</v>
      </c>
      <c r="S599" s="2">
        <v>0</v>
      </c>
      <c r="T599" s="2">
        <v>0</v>
      </c>
      <c r="U599" s="2">
        <v>0</v>
      </c>
      <c r="V599" s="2">
        <v>0</v>
      </c>
      <c r="W599" s="3" t="e">
        <f>V599/S599</f>
        <v>#DIV/0!</v>
      </c>
      <c r="X599" s="3" t="e">
        <f>V599/U599</f>
        <v>#DIV/0!</v>
      </c>
      <c r="Y599" s="4" t="e">
        <f>S599*6/U599</f>
        <v>#DIV/0!</v>
      </c>
      <c r="Z599" s="2">
        <v>0</v>
      </c>
      <c r="AA599" s="2">
        <v>0</v>
      </c>
      <c r="AB599" s="2">
        <v>0</v>
      </c>
      <c r="AC599" s="2">
        <v>11</v>
      </c>
    </row>
    <row r="600" spans="1:29" x14ac:dyDescent="0.35">
      <c r="A600" s="1" t="s">
        <v>668</v>
      </c>
      <c r="B600" s="1" t="s">
        <v>669</v>
      </c>
      <c r="C600">
        <f>D600+E600+F600+G600+H600+I600</f>
        <v>5</v>
      </c>
      <c r="D600" s="2">
        <v>0</v>
      </c>
      <c r="E600" s="2">
        <v>5</v>
      </c>
      <c r="F600" s="2">
        <v>0</v>
      </c>
      <c r="G600" s="2">
        <v>0</v>
      </c>
      <c r="H600" s="2">
        <v>0</v>
      </c>
      <c r="I600" s="2">
        <v>0</v>
      </c>
      <c r="J600" s="2">
        <v>3</v>
      </c>
      <c r="K600">
        <f>J600+L600</f>
        <v>5</v>
      </c>
      <c r="L600" s="2">
        <v>2</v>
      </c>
      <c r="M600" s="2">
        <v>0</v>
      </c>
      <c r="N600" s="2">
        <v>47</v>
      </c>
      <c r="O600" s="3">
        <f>N600/J600</f>
        <v>15.666666666666666</v>
      </c>
      <c r="P600" s="2">
        <v>0</v>
      </c>
      <c r="Q600" s="2">
        <v>0</v>
      </c>
      <c r="R600" s="2">
        <v>22</v>
      </c>
      <c r="S600" s="2">
        <v>0</v>
      </c>
      <c r="T600" s="2">
        <v>0</v>
      </c>
      <c r="U600" s="2">
        <v>0</v>
      </c>
      <c r="V600" s="2">
        <v>0</v>
      </c>
      <c r="W600" s="3" t="e">
        <f>V600/S600</f>
        <v>#DIV/0!</v>
      </c>
      <c r="X600" s="3" t="e">
        <f>V600/U600</f>
        <v>#DIV/0!</v>
      </c>
      <c r="Y600" s="4" t="e">
        <f>S600*6/U600</f>
        <v>#DIV/0!</v>
      </c>
      <c r="Z600" s="2">
        <v>0</v>
      </c>
      <c r="AA600" s="2">
        <v>0</v>
      </c>
      <c r="AB600" s="2">
        <v>0</v>
      </c>
      <c r="AC600" s="2">
        <v>5</v>
      </c>
    </row>
    <row r="601" spans="1:29" x14ac:dyDescent="0.35">
      <c r="A601" s="1" t="s">
        <v>671</v>
      </c>
      <c r="B601" s="1" t="s">
        <v>330</v>
      </c>
      <c r="C601">
        <f>D601+E601+F601+G601+H601+I601</f>
        <v>19</v>
      </c>
      <c r="D601" s="2">
        <v>11</v>
      </c>
      <c r="E601" s="2">
        <v>6</v>
      </c>
      <c r="F601" s="2">
        <v>2</v>
      </c>
      <c r="G601" s="2">
        <v>0</v>
      </c>
      <c r="H601" s="2">
        <v>0</v>
      </c>
      <c r="I601" s="2">
        <v>0</v>
      </c>
      <c r="J601" s="2">
        <v>13</v>
      </c>
      <c r="K601">
        <f>J601+L601</f>
        <v>17</v>
      </c>
      <c r="L601" s="2">
        <v>4</v>
      </c>
      <c r="M601" s="2">
        <v>5</v>
      </c>
      <c r="N601" s="2">
        <v>203</v>
      </c>
      <c r="O601" s="3">
        <f>N601/J601</f>
        <v>15.615384615384615</v>
      </c>
      <c r="P601" s="2">
        <v>0</v>
      </c>
      <c r="Q601" s="2">
        <v>0</v>
      </c>
      <c r="R601" s="2">
        <v>37</v>
      </c>
      <c r="S601" s="2">
        <v>228</v>
      </c>
      <c r="T601" s="2">
        <v>54</v>
      </c>
      <c r="U601" s="2">
        <v>35</v>
      </c>
      <c r="V601" s="2">
        <v>538</v>
      </c>
      <c r="W601" s="3">
        <f>V601/S601</f>
        <v>2.3596491228070176</v>
      </c>
      <c r="X601" s="3">
        <f>V601/U601</f>
        <v>15.371428571428572</v>
      </c>
      <c r="Y601" s="4">
        <f>S601*6/U601</f>
        <v>39.085714285714289</v>
      </c>
      <c r="Z601" s="2">
        <v>6</v>
      </c>
      <c r="AA601" s="2">
        <v>2</v>
      </c>
      <c r="AB601" s="2">
        <v>0</v>
      </c>
      <c r="AC601" s="2">
        <v>6</v>
      </c>
    </row>
    <row r="602" spans="1:29" x14ac:dyDescent="0.35">
      <c r="A602" s="1" t="s">
        <v>672</v>
      </c>
      <c r="B602" s="1" t="s">
        <v>673</v>
      </c>
      <c r="C602">
        <f>D602+E602+F602+G602+H602+I602</f>
        <v>20</v>
      </c>
      <c r="D602" s="2">
        <v>20</v>
      </c>
      <c r="E602" s="2">
        <v>0</v>
      </c>
      <c r="F602" s="2">
        <v>0</v>
      </c>
      <c r="G602" s="2">
        <v>0</v>
      </c>
      <c r="H602" s="2">
        <v>0</v>
      </c>
      <c r="I602" s="2">
        <v>0</v>
      </c>
      <c r="J602" s="2">
        <v>25</v>
      </c>
      <c r="K602">
        <f>J602+L602</f>
        <v>26</v>
      </c>
      <c r="L602" s="2">
        <v>1</v>
      </c>
      <c r="M602" s="2">
        <v>0</v>
      </c>
      <c r="N602" s="2">
        <v>651</v>
      </c>
      <c r="O602" s="3">
        <f>N602/J602</f>
        <v>26.04</v>
      </c>
      <c r="P602" s="2">
        <v>4</v>
      </c>
      <c r="Q602" s="2">
        <v>1</v>
      </c>
      <c r="R602" s="2">
        <v>125</v>
      </c>
      <c r="S602" s="2">
        <v>2</v>
      </c>
      <c r="T602" s="2">
        <v>0</v>
      </c>
      <c r="U602" s="2">
        <v>0</v>
      </c>
      <c r="V602" s="2">
        <v>21</v>
      </c>
      <c r="W602" s="3">
        <f>V602/S602</f>
        <v>10.5</v>
      </c>
      <c r="X602" s="3" t="e">
        <f>V602/U602</f>
        <v>#DIV/0!</v>
      </c>
      <c r="Y602" s="4" t="e">
        <f>S602*6/U602</f>
        <v>#DIV/0!</v>
      </c>
      <c r="Z602" s="2">
        <v>0</v>
      </c>
      <c r="AA602" s="2">
        <v>0</v>
      </c>
      <c r="AB602" s="2">
        <v>0</v>
      </c>
      <c r="AC602" s="2">
        <v>8</v>
      </c>
    </row>
    <row r="603" spans="1:29" x14ac:dyDescent="0.35">
      <c r="A603" s="11" t="s">
        <v>1109</v>
      </c>
      <c r="B603" s="11" t="s">
        <v>1110</v>
      </c>
      <c r="C603">
        <f>D603+E603+F603+G603+H603+I603</f>
        <v>37</v>
      </c>
      <c r="D603" s="2">
        <v>37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J603" s="2">
        <v>21</v>
      </c>
      <c r="K603">
        <f>J603+L603</f>
        <v>25</v>
      </c>
      <c r="L603" s="2">
        <v>4</v>
      </c>
      <c r="M603" s="2">
        <v>12</v>
      </c>
      <c r="N603" s="2">
        <f>250+58</f>
        <v>308</v>
      </c>
      <c r="O603" s="3">
        <f>N603/J603</f>
        <v>14.666666666666666</v>
      </c>
      <c r="P603" s="2">
        <v>1</v>
      </c>
      <c r="Q603" s="2">
        <v>0</v>
      </c>
      <c r="R603" s="2">
        <v>50</v>
      </c>
      <c r="S603" s="11">
        <f>161.1+83</f>
        <v>244.1</v>
      </c>
      <c r="T603" s="11">
        <v>28</v>
      </c>
      <c r="U603" s="11">
        <v>47</v>
      </c>
      <c r="V603" s="11">
        <f>624+374</f>
        <v>998</v>
      </c>
      <c r="W603" s="3">
        <f>V603/S603</f>
        <v>4.0884883244571899</v>
      </c>
      <c r="X603" s="3">
        <f>V603/U603</f>
        <v>21.23404255319149</v>
      </c>
      <c r="Y603" s="4">
        <f>964/30</f>
        <v>32.133333333333333</v>
      </c>
      <c r="Z603" s="11" t="s">
        <v>1187</v>
      </c>
      <c r="AA603" s="2">
        <v>0</v>
      </c>
      <c r="AB603" s="2">
        <v>0</v>
      </c>
      <c r="AC603" s="2">
        <v>15</v>
      </c>
    </row>
    <row r="604" spans="1:29" x14ac:dyDescent="0.35">
      <c r="A604" s="34" t="s">
        <v>674</v>
      </c>
      <c r="B604" s="34" t="s">
        <v>373</v>
      </c>
      <c r="C604">
        <f>D604+E604+F604+G604+H604+I604</f>
        <v>2</v>
      </c>
      <c r="D604" s="5">
        <v>0</v>
      </c>
      <c r="E604" s="5">
        <v>0</v>
      </c>
      <c r="F604" s="5">
        <v>2</v>
      </c>
      <c r="G604" s="5">
        <v>0</v>
      </c>
      <c r="H604" s="5">
        <v>0</v>
      </c>
      <c r="I604" s="5">
        <v>0</v>
      </c>
      <c r="J604" s="5">
        <v>2</v>
      </c>
      <c r="K604">
        <f>J604+L604</f>
        <v>2</v>
      </c>
      <c r="L604" s="5">
        <v>0</v>
      </c>
      <c r="M604" s="5">
        <v>0</v>
      </c>
      <c r="N604" s="5">
        <v>0</v>
      </c>
      <c r="O604" s="3">
        <f>N604/J604</f>
        <v>0</v>
      </c>
      <c r="P604" s="5">
        <v>0</v>
      </c>
      <c r="Q604" s="5">
        <v>0</v>
      </c>
      <c r="R604" s="5">
        <v>0</v>
      </c>
      <c r="S604" s="40">
        <v>0</v>
      </c>
      <c r="T604" s="40">
        <v>0</v>
      </c>
      <c r="U604" s="40">
        <v>0</v>
      </c>
      <c r="V604" s="40">
        <v>0</v>
      </c>
      <c r="W604" s="3" t="e">
        <f>V604/S604</f>
        <v>#DIV/0!</v>
      </c>
      <c r="X604" s="3" t="e">
        <f>V604/U604</f>
        <v>#DIV/0!</v>
      </c>
      <c r="Y604" s="4" t="e">
        <f>S604*6/U604</f>
        <v>#DIV/0!</v>
      </c>
      <c r="Z604" s="40">
        <v>0</v>
      </c>
      <c r="AA604" s="5">
        <v>0</v>
      </c>
      <c r="AB604" s="5">
        <v>0</v>
      </c>
      <c r="AC604" s="5">
        <v>0</v>
      </c>
    </row>
    <row r="605" spans="1:29" x14ac:dyDescent="0.35">
      <c r="A605" s="1" t="s">
        <v>675</v>
      </c>
      <c r="B605" s="1" t="s">
        <v>676</v>
      </c>
      <c r="C605">
        <f>D605+E605+F605+G605+H605+I605</f>
        <v>1</v>
      </c>
      <c r="D605" s="2">
        <v>0</v>
      </c>
      <c r="E605" s="2">
        <v>0</v>
      </c>
      <c r="F605" s="2">
        <v>1</v>
      </c>
      <c r="G605" s="2">
        <v>0</v>
      </c>
      <c r="H605" s="2">
        <v>0</v>
      </c>
      <c r="I605" s="2">
        <v>0</v>
      </c>
      <c r="J605" s="2">
        <v>0</v>
      </c>
      <c r="K605">
        <f>J605+L605</f>
        <v>1</v>
      </c>
      <c r="L605" s="2">
        <v>1</v>
      </c>
      <c r="M605" s="2">
        <v>0</v>
      </c>
      <c r="N605" s="2">
        <v>0</v>
      </c>
      <c r="O605" s="3" t="e">
        <f>N605/J605</f>
        <v>#DIV/0!</v>
      </c>
      <c r="P605" s="2">
        <v>0</v>
      </c>
      <c r="Q605" s="2">
        <v>0</v>
      </c>
      <c r="R605" s="2">
        <v>0</v>
      </c>
      <c r="S605" s="2">
        <v>3</v>
      </c>
      <c r="T605" s="2">
        <v>0</v>
      </c>
      <c r="U605" s="2">
        <v>1</v>
      </c>
      <c r="V605" s="2">
        <v>2</v>
      </c>
      <c r="W605" s="3">
        <f>V605/S605</f>
        <v>0.66666666666666663</v>
      </c>
      <c r="X605" s="3">
        <f>V605/U605</f>
        <v>2</v>
      </c>
      <c r="Y605" s="4">
        <f>S605*6/U605</f>
        <v>18</v>
      </c>
      <c r="Z605" s="2">
        <v>1</v>
      </c>
      <c r="AA605" s="2">
        <v>0</v>
      </c>
      <c r="AB605" s="2">
        <v>0</v>
      </c>
      <c r="AC605" s="2">
        <v>0</v>
      </c>
    </row>
    <row r="606" spans="1:29" x14ac:dyDescent="0.35">
      <c r="A606" s="34" t="s">
        <v>1318</v>
      </c>
      <c r="B606" s="34" t="s">
        <v>420</v>
      </c>
      <c r="C606">
        <f>D606+E606+F606+G606+H606+I606</f>
        <v>10</v>
      </c>
      <c r="D606" s="5">
        <v>0</v>
      </c>
      <c r="E606" s="5">
        <v>0</v>
      </c>
      <c r="F606" s="5">
        <v>10</v>
      </c>
      <c r="G606" s="5">
        <v>0</v>
      </c>
      <c r="H606" s="5">
        <v>0</v>
      </c>
      <c r="I606" s="5">
        <v>0</v>
      </c>
      <c r="J606" s="5">
        <v>6</v>
      </c>
      <c r="K606">
        <f>J606+L606</f>
        <v>7</v>
      </c>
      <c r="L606" s="5">
        <v>1</v>
      </c>
      <c r="M606" s="5">
        <v>4</v>
      </c>
      <c r="N606" s="5">
        <v>30</v>
      </c>
      <c r="O606" s="3">
        <f>N606/J606</f>
        <v>5</v>
      </c>
      <c r="P606" s="5">
        <v>0</v>
      </c>
      <c r="Q606" s="5">
        <v>0</v>
      </c>
      <c r="R606" s="5">
        <v>9</v>
      </c>
      <c r="S606" s="35">
        <v>4</v>
      </c>
      <c r="T606" s="35">
        <v>0</v>
      </c>
      <c r="U606" s="35">
        <v>0</v>
      </c>
      <c r="V606" s="35">
        <v>37</v>
      </c>
      <c r="W606" s="3">
        <f>V606/S606</f>
        <v>9.25</v>
      </c>
      <c r="X606" s="3">
        <f>U606</f>
        <v>0</v>
      </c>
      <c r="Y606" s="3">
        <v>0</v>
      </c>
      <c r="Z606" s="45" t="s">
        <v>1152</v>
      </c>
      <c r="AA606" s="5">
        <v>0</v>
      </c>
      <c r="AB606" s="5">
        <v>0</v>
      </c>
      <c r="AC606" s="5">
        <v>0</v>
      </c>
    </row>
    <row r="607" spans="1:29" x14ac:dyDescent="0.35">
      <c r="A607" s="1" t="s">
        <v>677</v>
      </c>
      <c r="B607" s="1" t="s">
        <v>678</v>
      </c>
      <c r="C607">
        <f>D607+E607+F607+G607+H607+I607</f>
        <v>5</v>
      </c>
      <c r="D607" s="2">
        <v>0</v>
      </c>
      <c r="E607" s="2">
        <v>0</v>
      </c>
      <c r="F607" s="2">
        <v>0</v>
      </c>
      <c r="G607" s="2">
        <v>5</v>
      </c>
      <c r="H607" s="2">
        <v>0</v>
      </c>
      <c r="I607" s="2">
        <v>0</v>
      </c>
      <c r="J607" s="2">
        <v>2</v>
      </c>
      <c r="K607">
        <f>J607+L607</f>
        <v>2</v>
      </c>
      <c r="L607" s="2">
        <v>0</v>
      </c>
      <c r="M607" s="2">
        <v>2</v>
      </c>
      <c r="N607" s="2">
        <v>16</v>
      </c>
      <c r="O607" s="3">
        <f>N607/J607</f>
        <v>8</v>
      </c>
      <c r="P607" s="2">
        <v>0</v>
      </c>
      <c r="Q607" s="2">
        <v>0</v>
      </c>
      <c r="R607" s="2">
        <v>9</v>
      </c>
      <c r="S607" s="2">
        <v>29</v>
      </c>
      <c r="T607" s="2">
        <v>5</v>
      </c>
      <c r="U607" s="2">
        <v>3</v>
      </c>
      <c r="V607" s="2">
        <v>40</v>
      </c>
      <c r="W607" s="3">
        <f>V607/S607</f>
        <v>1.3793103448275863</v>
      </c>
      <c r="X607" s="3">
        <f>V607/U607</f>
        <v>13.333333333333334</v>
      </c>
      <c r="Y607" s="4">
        <f>S607*6/U607</f>
        <v>58</v>
      </c>
      <c r="Z607" s="2">
        <v>2</v>
      </c>
      <c r="AA607" s="2">
        <v>0</v>
      </c>
      <c r="AB607" s="2">
        <v>0</v>
      </c>
      <c r="AC607" s="2">
        <v>0</v>
      </c>
    </row>
    <row r="608" spans="1:29" x14ac:dyDescent="0.35">
      <c r="A608" s="11" t="s">
        <v>679</v>
      </c>
      <c r="B608" s="11" t="s">
        <v>1166</v>
      </c>
      <c r="C608">
        <f>D608+E608+F608+G608+H608+I608</f>
        <v>3</v>
      </c>
      <c r="D608" s="2">
        <v>0</v>
      </c>
      <c r="E608" s="2">
        <v>0</v>
      </c>
      <c r="F608" s="2">
        <v>0</v>
      </c>
      <c r="G608" s="2">
        <v>3</v>
      </c>
      <c r="H608" s="2">
        <v>0</v>
      </c>
      <c r="I608" s="2">
        <v>0</v>
      </c>
      <c r="J608" s="2">
        <v>3</v>
      </c>
      <c r="K608" s="6">
        <f>J608+L608</f>
        <v>3</v>
      </c>
      <c r="L608" s="2">
        <v>0</v>
      </c>
      <c r="M608" s="2">
        <v>0</v>
      </c>
      <c r="N608" s="2">
        <v>26</v>
      </c>
      <c r="O608" s="3">
        <f>N608/J608</f>
        <v>8.6666666666666661</v>
      </c>
      <c r="P608" s="2">
        <v>0</v>
      </c>
      <c r="Q608" s="2">
        <v>0</v>
      </c>
      <c r="R608" s="2">
        <v>23</v>
      </c>
      <c r="S608" s="11">
        <v>4</v>
      </c>
      <c r="T608" s="11">
        <v>0</v>
      </c>
      <c r="U608" s="11">
        <v>1</v>
      </c>
      <c r="V608" s="11">
        <v>49</v>
      </c>
      <c r="W608">
        <f>49/4</f>
        <v>12.25</v>
      </c>
      <c r="X608" s="3">
        <v>49</v>
      </c>
      <c r="Y608" s="4">
        <v>24</v>
      </c>
      <c r="Z608" s="11" t="s">
        <v>1167</v>
      </c>
      <c r="AA608" s="2">
        <v>0</v>
      </c>
      <c r="AB608" s="2">
        <v>0</v>
      </c>
      <c r="AC608" s="2">
        <v>1</v>
      </c>
    </row>
    <row r="609" spans="1:29" x14ac:dyDescent="0.35">
      <c r="A609" s="11" t="s">
        <v>679</v>
      </c>
      <c r="B609" s="11" t="s">
        <v>1175</v>
      </c>
      <c r="C609">
        <f>D609+E609+F609+G609+H609+I609</f>
        <v>2</v>
      </c>
      <c r="D609" s="2">
        <v>0</v>
      </c>
      <c r="E609" s="2">
        <v>0</v>
      </c>
      <c r="F609" s="2">
        <v>0</v>
      </c>
      <c r="G609" s="2">
        <v>2</v>
      </c>
      <c r="H609" s="2">
        <v>0</v>
      </c>
      <c r="I609" s="2">
        <v>0</v>
      </c>
      <c r="J609" s="2">
        <v>2</v>
      </c>
      <c r="K609">
        <f>J609+L609</f>
        <v>2</v>
      </c>
      <c r="L609" s="2">
        <v>0</v>
      </c>
      <c r="M609" s="2">
        <v>0</v>
      </c>
      <c r="N609" s="2">
        <v>6</v>
      </c>
      <c r="O609" s="3">
        <f>N609/J609</f>
        <v>3</v>
      </c>
      <c r="P609" s="2">
        <v>0</v>
      </c>
      <c r="Q609" s="2">
        <v>0</v>
      </c>
      <c r="R609" s="2">
        <v>6</v>
      </c>
      <c r="S609" s="11">
        <v>4</v>
      </c>
      <c r="T609" s="11">
        <v>0</v>
      </c>
      <c r="U609" s="11">
        <v>0</v>
      </c>
      <c r="V609" s="11">
        <v>39</v>
      </c>
      <c r="W609">
        <f>39/4</f>
        <v>9.75</v>
      </c>
      <c r="X609" s="3">
        <v>0</v>
      </c>
      <c r="Y609">
        <v>0</v>
      </c>
      <c r="Z609" s="11" t="s">
        <v>1176</v>
      </c>
      <c r="AA609" s="11">
        <v>0</v>
      </c>
      <c r="AB609" s="2">
        <v>0</v>
      </c>
      <c r="AC609" s="2">
        <v>1</v>
      </c>
    </row>
    <row r="610" spans="1:29" x14ac:dyDescent="0.35">
      <c r="A610" s="34" t="s">
        <v>679</v>
      </c>
      <c r="B610" s="34" t="s">
        <v>680</v>
      </c>
      <c r="C610">
        <f>D610+E610+F610+G610+H610+I610</f>
        <v>1</v>
      </c>
      <c r="D610" s="5">
        <v>0</v>
      </c>
      <c r="E610" s="5">
        <v>1</v>
      </c>
      <c r="F610" s="5">
        <v>0</v>
      </c>
      <c r="G610" s="5">
        <v>0</v>
      </c>
      <c r="H610" s="5">
        <v>0</v>
      </c>
      <c r="I610" s="5">
        <v>0</v>
      </c>
      <c r="J610" s="5">
        <v>1</v>
      </c>
      <c r="K610" s="12">
        <f>J610+L610</f>
        <v>1</v>
      </c>
      <c r="L610" s="5">
        <v>0</v>
      </c>
      <c r="M610" s="5">
        <v>0</v>
      </c>
      <c r="N610" s="5">
        <v>5</v>
      </c>
      <c r="O610" s="3">
        <f>N610/J610</f>
        <v>5</v>
      </c>
      <c r="P610" s="5">
        <v>0</v>
      </c>
      <c r="Q610" s="5">
        <v>0</v>
      </c>
      <c r="R610" s="5">
        <v>5</v>
      </c>
      <c r="S610" s="40">
        <v>0</v>
      </c>
      <c r="T610" s="40">
        <v>0</v>
      </c>
      <c r="U610" s="40">
        <v>0</v>
      </c>
      <c r="V610" s="40">
        <v>0</v>
      </c>
      <c r="W610" s="3" t="e">
        <f>V610/S610</f>
        <v>#DIV/0!</v>
      </c>
      <c r="X610" s="3" t="e">
        <f>V610/U610</f>
        <v>#DIV/0!</v>
      </c>
      <c r="Y610" s="4" t="e">
        <f>S610*6/U610</f>
        <v>#DIV/0!</v>
      </c>
      <c r="Z610" s="40">
        <v>0</v>
      </c>
      <c r="AA610" s="5">
        <v>0</v>
      </c>
      <c r="AB610" s="5">
        <v>0</v>
      </c>
      <c r="AC610" s="5">
        <v>0</v>
      </c>
    </row>
    <row r="611" spans="1:29" x14ac:dyDescent="0.35">
      <c r="A611" s="37" t="s">
        <v>1395</v>
      </c>
      <c r="B611" s="37" t="s">
        <v>118</v>
      </c>
      <c r="C611" s="18">
        <f>D611+E611+F611+G611+H611+I611</f>
        <v>24</v>
      </c>
      <c r="D611" s="21">
        <v>0</v>
      </c>
      <c r="E611" s="21">
        <v>0</v>
      </c>
      <c r="F611" s="21">
        <v>2</v>
      </c>
      <c r="G611" s="21">
        <v>13</v>
      </c>
      <c r="H611" s="21">
        <v>9</v>
      </c>
      <c r="I611" s="21">
        <v>0</v>
      </c>
      <c r="J611" s="21">
        <v>7</v>
      </c>
      <c r="K611" s="41">
        <f>J611+L611</f>
        <v>11</v>
      </c>
      <c r="L611" s="21">
        <v>4</v>
      </c>
      <c r="M611" s="21">
        <v>14</v>
      </c>
      <c r="N611" s="21">
        <v>16</v>
      </c>
      <c r="O611" s="19">
        <f>N611/J611</f>
        <v>2.2857142857142856</v>
      </c>
      <c r="P611" s="21">
        <v>0</v>
      </c>
      <c r="Q611" s="21">
        <v>0</v>
      </c>
      <c r="R611" s="37" t="s">
        <v>1213</v>
      </c>
      <c r="S611" s="37">
        <f>64.4+83</f>
        <v>147.4</v>
      </c>
      <c r="T611" s="37">
        <v>20</v>
      </c>
      <c r="U611" s="37">
        <v>35</v>
      </c>
      <c r="V611" s="37">
        <f>193+400</f>
        <v>593</v>
      </c>
      <c r="W611" s="19">
        <f>V611/S611</f>
        <v>4.0230664857530529</v>
      </c>
      <c r="X611" s="19">
        <f>V611/U611</f>
        <v>16.942857142857143</v>
      </c>
      <c r="Y611" s="19">
        <f>S611*6/U611</f>
        <v>25.26857142857143</v>
      </c>
      <c r="Z611" s="37" t="s">
        <v>1413</v>
      </c>
      <c r="AA611" s="37">
        <v>0</v>
      </c>
      <c r="AB611" s="37">
        <v>0</v>
      </c>
      <c r="AC611" s="21">
        <v>2</v>
      </c>
    </row>
    <row r="612" spans="1:29" x14ac:dyDescent="0.35">
      <c r="A612" s="34" t="s">
        <v>681</v>
      </c>
      <c r="B612" s="34" t="s">
        <v>682</v>
      </c>
      <c r="C612">
        <f>D612+E612+F612+G612+H612+I612</f>
        <v>5</v>
      </c>
      <c r="D612" s="5">
        <v>0</v>
      </c>
      <c r="E612" s="5">
        <v>0</v>
      </c>
      <c r="F612" s="5">
        <v>5</v>
      </c>
      <c r="G612" s="5">
        <v>0</v>
      </c>
      <c r="H612" s="5">
        <v>0</v>
      </c>
      <c r="I612" s="5">
        <v>0</v>
      </c>
      <c r="J612" s="5">
        <v>5</v>
      </c>
      <c r="K612">
        <f>J612+L612</f>
        <v>5</v>
      </c>
      <c r="L612" s="5">
        <v>0</v>
      </c>
      <c r="M612" s="5">
        <v>4</v>
      </c>
      <c r="N612" s="5">
        <v>57</v>
      </c>
      <c r="O612" s="3">
        <f>N612/J612</f>
        <v>11.4</v>
      </c>
      <c r="P612" s="5">
        <v>0</v>
      </c>
      <c r="Q612" s="5">
        <v>0</v>
      </c>
      <c r="R612" s="5">
        <v>45</v>
      </c>
      <c r="S612" s="40">
        <v>51</v>
      </c>
      <c r="T612" s="40">
        <v>6</v>
      </c>
      <c r="U612" s="40">
        <v>8</v>
      </c>
      <c r="V612" s="40">
        <v>177</v>
      </c>
      <c r="W612" s="3">
        <f>V612/S612</f>
        <v>3.4705882352941178</v>
      </c>
      <c r="X612" s="3">
        <f>V612/U612</f>
        <v>22.125</v>
      </c>
      <c r="Y612" s="4">
        <f>S612*6/U612</f>
        <v>38.25</v>
      </c>
      <c r="Z612" s="40">
        <v>5</v>
      </c>
      <c r="AA612" s="40">
        <v>1</v>
      </c>
      <c r="AB612" s="5">
        <v>0</v>
      </c>
      <c r="AC612" s="5">
        <v>1</v>
      </c>
    </row>
    <row r="613" spans="1:29" x14ac:dyDescent="0.35">
      <c r="A613" s="15" t="s">
        <v>1195</v>
      </c>
      <c r="B613" s="15" t="s">
        <v>110</v>
      </c>
      <c r="C613" s="18">
        <f>D613+E613+F613+G613+H613+I613</f>
        <v>49</v>
      </c>
      <c r="D613" s="16">
        <f>14+9</f>
        <v>23</v>
      </c>
      <c r="E613" s="16">
        <f>13+8</f>
        <v>21</v>
      </c>
      <c r="F613" s="16">
        <v>3</v>
      </c>
      <c r="G613" s="16">
        <v>1</v>
      </c>
      <c r="H613" s="16">
        <v>1</v>
      </c>
      <c r="I613" s="16">
        <v>0</v>
      </c>
      <c r="J613" s="16">
        <v>35</v>
      </c>
      <c r="K613" s="18">
        <f>J613+L613</f>
        <v>45</v>
      </c>
      <c r="L613" s="16">
        <v>10</v>
      </c>
      <c r="M613" s="16">
        <v>6</v>
      </c>
      <c r="N613" s="16">
        <f>1139+203</f>
        <v>1342</v>
      </c>
      <c r="O613" s="19">
        <f>N613/J613</f>
        <v>38.342857142857142</v>
      </c>
      <c r="P613" s="16">
        <v>8</v>
      </c>
      <c r="Q613" s="16">
        <v>2</v>
      </c>
      <c r="R613" s="22" t="s">
        <v>1364</v>
      </c>
      <c r="S613" s="22">
        <f>96+16.3</f>
        <v>112.3</v>
      </c>
      <c r="T613" s="22">
        <f>9+6</f>
        <v>15</v>
      </c>
      <c r="U613" s="22">
        <v>15</v>
      </c>
      <c r="V613" s="22">
        <f>327+99</f>
        <v>426</v>
      </c>
      <c r="W613" s="19">
        <f>V613/S613</f>
        <v>3.7934105075690119</v>
      </c>
      <c r="X613" s="19">
        <f>V613/U613</f>
        <v>28.4</v>
      </c>
      <c r="Y613" s="19">
        <f>S613*6/U613</f>
        <v>44.919999999999995</v>
      </c>
      <c r="Z613" s="22" t="s">
        <v>1210</v>
      </c>
      <c r="AA613" s="16">
        <v>0</v>
      </c>
      <c r="AB613" s="16">
        <v>0</v>
      </c>
      <c r="AC613" s="16">
        <v>25</v>
      </c>
    </row>
    <row r="614" spans="1:29" x14ac:dyDescent="0.35">
      <c r="A614" s="34" t="s">
        <v>683</v>
      </c>
      <c r="B614" s="34" t="s">
        <v>639</v>
      </c>
      <c r="C614">
        <f>D614+E614+F614+G614+H614+I614</f>
        <v>2</v>
      </c>
      <c r="D614" s="5">
        <v>0</v>
      </c>
      <c r="E614" s="5">
        <v>0</v>
      </c>
      <c r="F614" s="5">
        <v>2</v>
      </c>
      <c r="G614" s="5">
        <v>0</v>
      </c>
      <c r="H614" s="5">
        <v>0</v>
      </c>
      <c r="I614" s="5">
        <v>0</v>
      </c>
      <c r="J614" s="5">
        <v>2</v>
      </c>
      <c r="K614">
        <f>J614+L614</f>
        <v>2</v>
      </c>
      <c r="L614" s="5">
        <v>0</v>
      </c>
      <c r="M614" s="5">
        <v>0</v>
      </c>
      <c r="N614" s="5">
        <v>48</v>
      </c>
      <c r="O614" s="3">
        <f>N614/J614</f>
        <v>24</v>
      </c>
      <c r="P614" s="5">
        <v>0</v>
      </c>
      <c r="Q614" s="5">
        <v>0</v>
      </c>
      <c r="R614" s="40">
        <v>30</v>
      </c>
      <c r="S614" s="40">
        <v>31</v>
      </c>
      <c r="T614" s="40">
        <v>5</v>
      </c>
      <c r="U614" s="40">
        <v>4</v>
      </c>
      <c r="V614" s="40">
        <v>92</v>
      </c>
      <c r="W614" s="3">
        <f>V614/S614</f>
        <v>2.967741935483871</v>
      </c>
      <c r="X614" s="3">
        <f>V614/U614</f>
        <v>23</v>
      </c>
      <c r="Y614" s="4">
        <f>S614*6/U614</f>
        <v>46.5</v>
      </c>
      <c r="Z614" s="40">
        <v>3</v>
      </c>
      <c r="AA614" s="9">
        <v>0</v>
      </c>
      <c r="AB614" s="5">
        <v>0</v>
      </c>
      <c r="AC614" s="5">
        <v>1</v>
      </c>
    </row>
    <row r="615" spans="1:29" x14ac:dyDescent="0.35">
      <c r="A615" s="1" t="s">
        <v>684</v>
      </c>
      <c r="B615" s="1" t="s">
        <v>685</v>
      </c>
      <c r="C615">
        <f>D615+E615+F615+G615+H615+I615</f>
        <v>21</v>
      </c>
      <c r="D615" s="2">
        <v>0</v>
      </c>
      <c r="E615" s="2">
        <v>13</v>
      </c>
      <c r="F615" s="2">
        <v>3</v>
      </c>
      <c r="G615" s="2">
        <v>4</v>
      </c>
      <c r="H615" s="2">
        <v>1</v>
      </c>
      <c r="I615" s="2">
        <v>0</v>
      </c>
      <c r="J615" s="2">
        <v>15</v>
      </c>
      <c r="K615">
        <f>J615+L615</f>
        <v>18</v>
      </c>
      <c r="L615" s="2">
        <v>3</v>
      </c>
      <c r="M615" s="2">
        <v>8</v>
      </c>
      <c r="N615" s="2">
        <v>115</v>
      </c>
      <c r="O615" s="3">
        <f>N615/J615</f>
        <v>7.666666666666667</v>
      </c>
      <c r="P615" s="2">
        <v>0</v>
      </c>
      <c r="Q615" s="2">
        <v>0</v>
      </c>
      <c r="R615" s="2">
        <v>22</v>
      </c>
      <c r="S615" s="2">
        <v>174</v>
      </c>
      <c r="T615" s="2">
        <v>27</v>
      </c>
      <c r="U615" s="2">
        <v>23</v>
      </c>
      <c r="V615" s="2">
        <v>579</v>
      </c>
      <c r="W615" s="3">
        <f>V615/S615</f>
        <v>3.3275862068965516</v>
      </c>
      <c r="X615" s="3">
        <f>V615/U615</f>
        <v>25.173913043478262</v>
      </c>
      <c r="Y615" s="4">
        <f>S615*6/U615</f>
        <v>45.391304347826086</v>
      </c>
      <c r="Z615" s="2">
        <v>3</v>
      </c>
      <c r="AA615" s="2">
        <v>0</v>
      </c>
      <c r="AB615" s="2">
        <v>0</v>
      </c>
      <c r="AC615" s="2">
        <v>2</v>
      </c>
    </row>
    <row r="616" spans="1:29" x14ac:dyDescent="0.35">
      <c r="A616" s="1" t="s">
        <v>686</v>
      </c>
      <c r="B616" s="1" t="s">
        <v>687</v>
      </c>
      <c r="C616">
        <f>D616+E616+F616+G616+H616+I616</f>
        <v>4</v>
      </c>
      <c r="D616" s="2">
        <v>0</v>
      </c>
      <c r="E616" s="2">
        <v>0</v>
      </c>
      <c r="F616" s="2">
        <v>4</v>
      </c>
      <c r="G616" s="2">
        <v>0</v>
      </c>
      <c r="H616" s="2">
        <v>0</v>
      </c>
      <c r="I616" s="2">
        <v>0</v>
      </c>
      <c r="J616" s="2">
        <v>2</v>
      </c>
      <c r="K616">
        <f>J616+L616</f>
        <v>4</v>
      </c>
      <c r="L616" s="2">
        <v>2</v>
      </c>
      <c r="M616" s="2">
        <v>0</v>
      </c>
      <c r="N616" s="2">
        <v>154</v>
      </c>
      <c r="O616" s="3">
        <f>N616/J616</f>
        <v>77</v>
      </c>
      <c r="P616" s="2">
        <v>0</v>
      </c>
      <c r="Q616" s="2">
        <v>1</v>
      </c>
      <c r="R616" s="2">
        <v>134</v>
      </c>
      <c r="S616" s="2">
        <v>39</v>
      </c>
      <c r="T616" s="2">
        <v>12</v>
      </c>
      <c r="U616" s="2">
        <v>6</v>
      </c>
      <c r="V616" s="2">
        <v>69</v>
      </c>
      <c r="W616" s="3">
        <f>V616/S616</f>
        <v>1.7692307692307692</v>
      </c>
      <c r="X616" s="3">
        <f>V616/U616</f>
        <v>11.5</v>
      </c>
      <c r="Y616" s="4">
        <f>S616*6/U616</f>
        <v>39</v>
      </c>
      <c r="Z616" s="2">
        <v>3</v>
      </c>
      <c r="AA616" s="2">
        <v>0</v>
      </c>
      <c r="AB616" s="2">
        <v>0</v>
      </c>
      <c r="AC616" s="2">
        <v>4</v>
      </c>
    </row>
    <row r="617" spans="1:29" x14ac:dyDescent="0.35">
      <c r="A617" s="1" t="s">
        <v>688</v>
      </c>
      <c r="B617" s="1" t="s">
        <v>689</v>
      </c>
      <c r="C617">
        <f>D617+E617+F617+G617+H617+I617</f>
        <v>1</v>
      </c>
      <c r="D617" s="2">
        <v>0</v>
      </c>
      <c r="E617" s="2">
        <v>0</v>
      </c>
      <c r="F617" s="2">
        <v>0</v>
      </c>
      <c r="G617" s="2">
        <v>1</v>
      </c>
      <c r="H617" s="2">
        <v>0</v>
      </c>
      <c r="I617" s="2">
        <v>0</v>
      </c>
      <c r="J617" s="2">
        <v>1</v>
      </c>
      <c r="K617">
        <f>J617+L617</f>
        <v>1</v>
      </c>
      <c r="L617" s="2">
        <v>0</v>
      </c>
      <c r="M617" s="2">
        <v>0</v>
      </c>
      <c r="N617" s="2">
        <v>19</v>
      </c>
      <c r="O617" s="3">
        <f>N617/J617</f>
        <v>19</v>
      </c>
      <c r="P617" s="2">
        <v>0</v>
      </c>
      <c r="Q617" s="2">
        <v>0</v>
      </c>
      <c r="R617" s="2">
        <v>19</v>
      </c>
      <c r="S617" s="2">
        <v>0</v>
      </c>
      <c r="T617" s="2">
        <v>0</v>
      </c>
      <c r="U617" s="2">
        <v>0</v>
      </c>
      <c r="V617" s="2">
        <v>0</v>
      </c>
      <c r="W617" s="3" t="e">
        <f>V617/S617</f>
        <v>#DIV/0!</v>
      </c>
      <c r="X617" s="3" t="e">
        <f>V617/U617</f>
        <v>#DIV/0!</v>
      </c>
      <c r="Y617" s="4" t="e">
        <f>S617*6/U617</f>
        <v>#DIV/0!</v>
      </c>
      <c r="Z617" s="2">
        <v>0</v>
      </c>
      <c r="AA617" s="2">
        <v>0</v>
      </c>
      <c r="AB617" s="2">
        <v>0</v>
      </c>
      <c r="AC617" s="2">
        <v>0</v>
      </c>
    </row>
    <row r="618" spans="1:29" x14ac:dyDescent="0.35">
      <c r="A618" s="1" t="s">
        <v>690</v>
      </c>
      <c r="B618" s="1" t="s">
        <v>583</v>
      </c>
      <c r="C618">
        <f>D618+E618+F618+G618+H618+I618</f>
        <v>19</v>
      </c>
      <c r="D618" s="2">
        <v>0</v>
      </c>
      <c r="E618" s="2">
        <v>2</v>
      </c>
      <c r="F618" s="2">
        <v>8</v>
      </c>
      <c r="G618" s="2">
        <v>2</v>
      </c>
      <c r="H618" s="2">
        <v>5</v>
      </c>
      <c r="I618" s="2">
        <v>2</v>
      </c>
      <c r="J618" s="2">
        <v>24</v>
      </c>
      <c r="K618">
        <f>J618+L618</f>
        <v>28</v>
      </c>
      <c r="L618" s="2">
        <v>4</v>
      </c>
      <c r="M618" s="2">
        <v>8</v>
      </c>
      <c r="N618" s="2">
        <v>248</v>
      </c>
      <c r="O618" s="3">
        <f>N618/J618</f>
        <v>10.333333333333334</v>
      </c>
      <c r="P618" s="2">
        <v>0</v>
      </c>
      <c r="Q618" s="2">
        <v>0</v>
      </c>
      <c r="R618" s="2">
        <v>29</v>
      </c>
      <c r="S618" s="2">
        <v>431</v>
      </c>
      <c r="T618" s="2">
        <v>85</v>
      </c>
      <c r="U618" s="2">
        <v>54</v>
      </c>
      <c r="V618" s="2">
        <v>1257</v>
      </c>
      <c r="W618" s="3">
        <f>V618/S618</f>
        <v>2.9164733178654294</v>
      </c>
      <c r="X618" s="3">
        <f>V618/U618</f>
        <v>23.277777777777779</v>
      </c>
      <c r="Y618" s="4">
        <f>S618*6/U618</f>
        <v>47.888888888888886</v>
      </c>
      <c r="Z618" s="2">
        <v>8</v>
      </c>
      <c r="AA618" s="2">
        <v>1</v>
      </c>
      <c r="AB618" s="2">
        <v>0</v>
      </c>
      <c r="AC618" s="2">
        <v>10</v>
      </c>
    </row>
    <row r="619" spans="1:29" x14ac:dyDescent="0.35">
      <c r="A619" s="1" t="s">
        <v>691</v>
      </c>
      <c r="B619" s="1" t="s">
        <v>692</v>
      </c>
      <c r="C619">
        <f>D619+E619+F619+G619+H619+I619</f>
        <v>3</v>
      </c>
      <c r="D619" s="2">
        <v>0</v>
      </c>
      <c r="E619" s="2">
        <v>0</v>
      </c>
      <c r="F619" s="2">
        <v>3</v>
      </c>
      <c r="G619" s="2">
        <v>0</v>
      </c>
      <c r="H619" s="2">
        <v>0</v>
      </c>
      <c r="I619" s="2">
        <v>0</v>
      </c>
      <c r="J619" s="2">
        <v>2</v>
      </c>
      <c r="K619">
        <f>J619+L619</f>
        <v>2</v>
      </c>
      <c r="L619" s="2">
        <v>0</v>
      </c>
      <c r="M619" s="2">
        <v>1</v>
      </c>
      <c r="N619" s="2">
        <v>18</v>
      </c>
      <c r="O619" s="3">
        <f>N619/J619</f>
        <v>9</v>
      </c>
      <c r="P619" s="2">
        <v>0</v>
      </c>
      <c r="Q619" s="2">
        <v>0</v>
      </c>
      <c r="R619" s="2">
        <v>18</v>
      </c>
      <c r="S619" s="2">
        <v>13</v>
      </c>
      <c r="T619" s="2">
        <v>0</v>
      </c>
      <c r="U619" s="2">
        <v>3</v>
      </c>
      <c r="V619" s="2">
        <v>39</v>
      </c>
      <c r="W619" s="3">
        <f>V619/S619</f>
        <v>3</v>
      </c>
      <c r="X619" s="3">
        <f>V619/U619</f>
        <v>13</v>
      </c>
      <c r="Y619" s="4">
        <f>S619*6/U619</f>
        <v>26</v>
      </c>
      <c r="Z619" s="2">
        <v>3</v>
      </c>
      <c r="AA619" s="2">
        <v>0</v>
      </c>
      <c r="AB619" s="2">
        <v>0</v>
      </c>
      <c r="AC619" s="2">
        <v>0</v>
      </c>
    </row>
    <row r="620" spans="1:29" x14ac:dyDescent="0.35">
      <c r="A620" s="37" t="s">
        <v>1340</v>
      </c>
      <c r="B620" s="37" t="s">
        <v>603</v>
      </c>
      <c r="C620" s="18">
        <f>D620+E620+F620+G620+H620+I620</f>
        <v>28</v>
      </c>
      <c r="D620" s="21">
        <v>0</v>
      </c>
      <c r="E620" s="21">
        <v>0</v>
      </c>
      <c r="F620" s="21">
        <v>0</v>
      </c>
      <c r="G620" s="21">
        <v>13</v>
      </c>
      <c r="H620" s="21">
        <v>15</v>
      </c>
      <c r="I620" s="21">
        <v>0</v>
      </c>
      <c r="J620" s="21">
        <v>16</v>
      </c>
      <c r="K620" s="18">
        <f>J620+L620</f>
        <v>24</v>
      </c>
      <c r="L620" s="21">
        <v>8</v>
      </c>
      <c r="M620" s="21">
        <v>4</v>
      </c>
      <c r="N620" s="21">
        <f>56+86</f>
        <v>142</v>
      </c>
      <c r="O620" s="19">
        <f>N620/J620</f>
        <v>8.875</v>
      </c>
      <c r="P620" s="21">
        <v>0</v>
      </c>
      <c r="Q620" s="21">
        <v>0</v>
      </c>
      <c r="R620" s="21">
        <v>19</v>
      </c>
      <c r="S620" s="18">
        <v>34</v>
      </c>
      <c r="T620" s="18">
        <v>0</v>
      </c>
      <c r="U620" s="18">
        <v>5</v>
      </c>
      <c r="V620" s="18">
        <f>136+41</f>
        <v>177</v>
      </c>
      <c r="W620" s="19">
        <f>V620/S620</f>
        <v>5.2058823529411766</v>
      </c>
      <c r="X620" s="19">
        <f>V620/U620</f>
        <v>35.4</v>
      </c>
      <c r="Y620" s="19">
        <f>S620*6/U620</f>
        <v>40.799999999999997</v>
      </c>
      <c r="Z620" s="18" t="s">
        <v>1266</v>
      </c>
      <c r="AA620" s="18">
        <v>0</v>
      </c>
      <c r="AB620" s="21">
        <v>0</v>
      </c>
      <c r="AC620" s="21">
        <v>7</v>
      </c>
    </row>
    <row r="621" spans="1:29" x14ac:dyDescent="0.35">
      <c r="A621" s="36" t="s">
        <v>1390</v>
      </c>
      <c r="B621" s="36" t="s">
        <v>498</v>
      </c>
      <c r="C621" s="18">
        <f>D621+E621+F621+G621+H621+I621</f>
        <v>15</v>
      </c>
      <c r="D621" s="21">
        <v>0</v>
      </c>
      <c r="E621" s="21">
        <v>0</v>
      </c>
      <c r="F621" s="21">
        <v>3</v>
      </c>
      <c r="G621" s="21">
        <v>2</v>
      </c>
      <c r="H621" s="21">
        <v>10</v>
      </c>
      <c r="I621" s="21">
        <v>0</v>
      </c>
      <c r="J621" s="21">
        <v>14</v>
      </c>
      <c r="K621" s="18">
        <f>J621+L621</f>
        <v>14</v>
      </c>
      <c r="L621" s="21">
        <v>0</v>
      </c>
      <c r="M621" s="21">
        <v>1</v>
      </c>
      <c r="N621" s="21">
        <f>299+36</f>
        <v>335</v>
      </c>
      <c r="O621" s="19">
        <f>N621/J621</f>
        <v>23.928571428571427</v>
      </c>
      <c r="P621" s="21">
        <v>4</v>
      </c>
      <c r="Q621" s="21">
        <v>0</v>
      </c>
      <c r="R621" s="21">
        <v>59</v>
      </c>
      <c r="S621" s="37">
        <v>12.3</v>
      </c>
      <c r="T621" s="37">
        <v>0</v>
      </c>
      <c r="U621" s="37">
        <v>0</v>
      </c>
      <c r="V621" s="37">
        <f>54+18</f>
        <v>72</v>
      </c>
      <c r="W621" s="19">
        <f>V621/S621</f>
        <v>5.8536585365853657</v>
      </c>
      <c r="X621" s="19">
        <v>0</v>
      </c>
      <c r="Y621" s="19">
        <v>0</v>
      </c>
      <c r="Z621" s="37" t="s">
        <v>1396</v>
      </c>
      <c r="AA621" s="37">
        <v>0</v>
      </c>
      <c r="AB621" s="37">
        <v>0</v>
      </c>
      <c r="AC621" s="21">
        <v>2</v>
      </c>
    </row>
    <row r="622" spans="1:29" x14ac:dyDescent="0.35">
      <c r="A622" s="1" t="s">
        <v>693</v>
      </c>
      <c r="B622" s="1" t="s">
        <v>525</v>
      </c>
      <c r="C622">
        <f>D622+E622+F622+G622+H622+I622</f>
        <v>2</v>
      </c>
      <c r="D622" s="2">
        <v>0</v>
      </c>
      <c r="E622" s="2">
        <v>0</v>
      </c>
      <c r="F622" s="2">
        <v>2</v>
      </c>
      <c r="G622" s="2">
        <v>0</v>
      </c>
      <c r="H622" s="2">
        <v>0</v>
      </c>
      <c r="I622" s="2">
        <v>0</v>
      </c>
      <c r="J622" s="2">
        <v>3</v>
      </c>
      <c r="K622">
        <f>J622+L622</f>
        <v>3</v>
      </c>
      <c r="L622" s="2">
        <v>0</v>
      </c>
      <c r="M622" s="2">
        <v>0</v>
      </c>
      <c r="N622" s="2">
        <v>3</v>
      </c>
      <c r="O622" s="3">
        <f>N622/J622</f>
        <v>1</v>
      </c>
      <c r="P622" s="2">
        <v>0</v>
      </c>
      <c r="Q622" s="2">
        <v>0</v>
      </c>
      <c r="R622" s="2">
        <v>3</v>
      </c>
      <c r="S622" s="2">
        <v>1</v>
      </c>
      <c r="T622" s="2">
        <v>0</v>
      </c>
      <c r="U622" s="2">
        <v>0</v>
      </c>
      <c r="V622" s="2">
        <v>7</v>
      </c>
      <c r="W622" s="3">
        <f>V622/S622</f>
        <v>7</v>
      </c>
      <c r="X622" s="3" t="e">
        <f>V622/U622</f>
        <v>#DIV/0!</v>
      </c>
      <c r="Y622" s="4" t="e">
        <f>S622*6/U622</f>
        <v>#DIV/0!</v>
      </c>
      <c r="Z622" s="2">
        <v>0</v>
      </c>
      <c r="AA622" s="2">
        <v>0</v>
      </c>
      <c r="AB622" s="2">
        <v>0</v>
      </c>
      <c r="AC622" s="2">
        <v>0</v>
      </c>
    </row>
    <row r="623" spans="1:29" x14ac:dyDescent="0.35">
      <c r="A623" s="37" t="s">
        <v>1397</v>
      </c>
      <c r="B623" s="37" t="s">
        <v>186</v>
      </c>
      <c r="C623" s="18">
        <f>D623+E623+F623+G623+H623+I623</f>
        <v>23</v>
      </c>
      <c r="D623" s="21">
        <v>0</v>
      </c>
      <c r="E623" s="21">
        <v>0</v>
      </c>
      <c r="F623" s="21">
        <v>0</v>
      </c>
      <c r="G623" s="21">
        <v>11</v>
      </c>
      <c r="H623" s="21">
        <v>12</v>
      </c>
      <c r="I623" s="21">
        <v>0</v>
      </c>
      <c r="J623" s="21">
        <v>5</v>
      </c>
      <c r="K623" s="18">
        <f>J623+L623</f>
        <v>14</v>
      </c>
      <c r="L623" s="21">
        <v>9</v>
      </c>
      <c r="M623" s="21">
        <v>9</v>
      </c>
      <c r="N623" s="21">
        <v>52</v>
      </c>
      <c r="O623" s="19">
        <f>N623/J623</f>
        <v>10.4</v>
      </c>
      <c r="P623" s="21">
        <v>0</v>
      </c>
      <c r="Q623" s="21">
        <v>0</v>
      </c>
      <c r="R623" s="37">
        <v>15</v>
      </c>
      <c r="S623" s="37">
        <f>105.1+28</f>
        <v>133.1</v>
      </c>
      <c r="T623" s="37">
        <v>22</v>
      </c>
      <c r="U623" s="37">
        <v>30</v>
      </c>
      <c r="V623" s="37">
        <f>422+115</f>
        <v>537</v>
      </c>
      <c r="W623" s="19">
        <f>V623/S623</f>
        <v>4.0345604808414723</v>
      </c>
      <c r="X623" s="19">
        <f>V623/U623</f>
        <v>17.899999999999999</v>
      </c>
      <c r="Y623" s="19">
        <f>S623*6/U623</f>
        <v>26.619999999999997</v>
      </c>
      <c r="Z623" s="37" t="s">
        <v>1439</v>
      </c>
      <c r="AA623" s="37">
        <v>0</v>
      </c>
      <c r="AB623" s="37">
        <v>0</v>
      </c>
      <c r="AC623" s="37">
        <v>3</v>
      </c>
    </row>
    <row r="624" spans="1:29" x14ac:dyDescent="0.35">
      <c r="A624" s="7" t="s">
        <v>694</v>
      </c>
      <c r="B624" s="7" t="s">
        <v>1333</v>
      </c>
      <c r="C624">
        <f>D624+E624+F624+G624+H624+I624</f>
        <v>3</v>
      </c>
      <c r="D624" s="5">
        <v>0</v>
      </c>
      <c r="E624" s="5">
        <v>0</v>
      </c>
      <c r="F624" s="5">
        <v>0</v>
      </c>
      <c r="G624" s="5">
        <v>3</v>
      </c>
      <c r="H624" s="5">
        <v>0</v>
      </c>
      <c r="I624" s="5">
        <v>0</v>
      </c>
      <c r="J624" s="5">
        <v>3</v>
      </c>
      <c r="K624">
        <f>J624+L624</f>
        <v>3</v>
      </c>
      <c r="L624" s="5">
        <v>0</v>
      </c>
      <c r="M624" s="5">
        <v>0</v>
      </c>
      <c r="N624" s="5">
        <v>93</v>
      </c>
      <c r="O624" s="3">
        <f>N624/J624</f>
        <v>31</v>
      </c>
      <c r="P624" s="5">
        <v>0</v>
      </c>
      <c r="Q624" s="5">
        <v>0</v>
      </c>
      <c r="R624" s="5">
        <v>47</v>
      </c>
      <c r="S624" s="35">
        <v>4</v>
      </c>
      <c r="T624" s="35">
        <v>0</v>
      </c>
      <c r="U624" s="35">
        <v>0</v>
      </c>
      <c r="V624" s="35">
        <v>40</v>
      </c>
      <c r="W624" s="3">
        <f>V624/S624</f>
        <v>10</v>
      </c>
      <c r="X624" s="3">
        <v>0</v>
      </c>
      <c r="Y624" s="3">
        <v>0</v>
      </c>
      <c r="Z624" s="35" t="s">
        <v>1218</v>
      </c>
      <c r="AA624" s="35">
        <v>0</v>
      </c>
      <c r="AB624" s="5">
        <v>0</v>
      </c>
      <c r="AC624" s="5">
        <v>1</v>
      </c>
    </row>
    <row r="625" spans="1:29" x14ac:dyDescent="0.35">
      <c r="A625" s="1" t="s">
        <v>694</v>
      </c>
      <c r="B625" s="1" t="s">
        <v>32</v>
      </c>
      <c r="C625">
        <f>D625+E625+F625+G625+H625+I625</f>
        <v>13</v>
      </c>
      <c r="D625" s="2">
        <v>0</v>
      </c>
      <c r="E625" s="2">
        <v>0</v>
      </c>
      <c r="F625" s="2">
        <v>0</v>
      </c>
      <c r="G625" s="2">
        <v>5</v>
      </c>
      <c r="H625" s="2">
        <v>4</v>
      </c>
      <c r="I625" s="2">
        <v>4</v>
      </c>
      <c r="J625" s="2">
        <v>7</v>
      </c>
      <c r="K625">
        <f>J625+L625</f>
        <v>10</v>
      </c>
      <c r="L625" s="2">
        <v>3</v>
      </c>
      <c r="M625" s="2">
        <v>5</v>
      </c>
      <c r="N625" s="2">
        <v>37</v>
      </c>
      <c r="O625" s="3">
        <f>N625/J625</f>
        <v>5.2857142857142856</v>
      </c>
      <c r="P625" s="2">
        <v>0</v>
      </c>
      <c r="Q625" s="2">
        <v>0</v>
      </c>
      <c r="R625" s="2">
        <v>13</v>
      </c>
      <c r="S625" s="2">
        <v>78</v>
      </c>
      <c r="T625" s="2">
        <v>10</v>
      </c>
      <c r="U625" s="2">
        <v>6</v>
      </c>
      <c r="V625" s="2">
        <v>257</v>
      </c>
      <c r="W625" s="3">
        <f>V625/S625</f>
        <v>3.2948717948717947</v>
      </c>
      <c r="X625" s="3">
        <f>V625/U625</f>
        <v>42.833333333333336</v>
      </c>
      <c r="Y625" s="4">
        <f>S625*6/U625</f>
        <v>78</v>
      </c>
      <c r="Z625" s="2">
        <v>1</v>
      </c>
      <c r="AA625" s="2">
        <v>0</v>
      </c>
      <c r="AB625" s="2">
        <v>0</v>
      </c>
      <c r="AC625" s="2">
        <v>0</v>
      </c>
    </row>
    <row r="626" spans="1:29" x14ac:dyDescent="0.35">
      <c r="A626" s="1" t="s">
        <v>694</v>
      </c>
      <c r="B626" s="1" t="s">
        <v>541</v>
      </c>
      <c r="C626">
        <f>D626+E626+F626+G626+H626+I626</f>
        <v>2</v>
      </c>
      <c r="D626" s="2">
        <v>0</v>
      </c>
      <c r="E626" s="2">
        <v>0</v>
      </c>
      <c r="F626" s="2">
        <v>0</v>
      </c>
      <c r="G626" s="2">
        <v>2</v>
      </c>
      <c r="H626" s="2">
        <v>0</v>
      </c>
      <c r="I626" s="2">
        <v>0</v>
      </c>
      <c r="J626" s="2">
        <v>1</v>
      </c>
      <c r="K626">
        <f>J626+L626</f>
        <v>1</v>
      </c>
      <c r="L626" s="2">
        <v>0</v>
      </c>
      <c r="M626" s="2">
        <v>1</v>
      </c>
      <c r="N626" s="2">
        <v>14</v>
      </c>
      <c r="O626" s="3">
        <f>N626/J626</f>
        <v>14</v>
      </c>
      <c r="P626" s="2">
        <v>0</v>
      </c>
      <c r="Q626" s="2">
        <v>0</v>
      </c>
      <c r="R626" s="2">
        <v>14</v>
      </c>
      <c r="S626" s="2">
        <v>29</v>
      </c>
      <c r="T626" s="2">
        <v>1</v>
      </c>
      <c r="U626" s="2">
        <v>3</v>
      </c>
      <c r="V626" s="2">
        <v>135</v>
      </c>
      <c r="W626" s="3">
        <f>V626/S626</f>
        <v>4.6551724137931032</v>
      </c>
      <c r="X626" s="3">
        <f>V626/U626</f>
        <v>45</v>
      </c>
      <c r="Y626" s="4">
        <f>S626*6/U626</f>
        <v>58</v>
      </c>
      <c r="Z626" s="2">
        <v>2</v>
      </c>
      <c r="AA626" s="2">
        <v>0</v>
      </c>
      <c r="AB626" s="2">
        <v>0</v>
      </c>
      <c r="AC626" s="2">
        <v>0</v>
      </c>
    </row>
    <row r="627" spans="1:29" x14ac:dyDescent="0.35">
      <c r="A627" s="35" t="s">
        <v>1334</v>
      </c>
      <c r="B627" s="35" t="s">
        <v>1335</v>
      </c>
      <c r="C627">
        <f>D627+E627+F627+G627+H627+I627</f>
        <v>7</v>
      </c>
      <c r="D627" s="5">
        <v>0</v>
      </c>
      <c r="E627" s="5">
        <v>0</v>
      </c>
      <c r="F627" s="5">
        <v>0</v>
      </c>
      <c r="G627" s="5">
        <v>3</v>
      </c>
      <c r="H627" s="5">
        <v>4</v>
      </c>
      <c r="I627" s="5">
        <v>0</v>
      </c>
      <c r="J627" s="5">
        <v>2</v>
      </c>
      <c r="K627">
        <f>J627+L627</f>
        <v>3</v>
      </c>
      <c r="L627" s="5">
        <v>1</v>
      </c>
      <c r="M627" s="5">
        <v>4</v>
      </c>
      <c r="N627" s="5">
        <v>1</v>
      </c>
      <c r="O627" s="3">
        <f>N627/J627</f>
        <v>0.5</v>
      </c>
      <c r="P627" s="5">
        <v>0</v>
      </c>
      <c r="Q627" s="5">
        <v>0</v>
      </c>
      <c r="R627" s="5">
        <v>1</v>
      </c>
      <c r="S627" s="35">
        <v>6</v>
      </c>
      <c r="T627" s="35">
        <v>0</v>
      </c>
      <c r="U627" s="35">
        <v>1</v>
      </c>
      <c r="V627" s="35">
        <v>30</v>
      </c>
      <c r="W627" s="3">
        <f>V627/S627</f>
        <v>5</v>
      </c>
      <c r="X627" s="3">
        <f>V627/U627</f>
        <v>30</v>
      </c>
      <c r="Y627" s="3">
        <f>S627*6/U627</f>
        <v>36</v>
      </c>
      <c r="Z627" s="35" t="s">
        <v>1216</v>
      </c>
      <c r="AA627" s="45">
        <v>0</v>
      </c>
      <c r="AB627" s="45">
        <v>0</v>
      </c>
      <c r="AC627" s="45">
        <v>1</v>
      </c>
    </row>
    <row r="628" spans="1:29" x14ac:dyDescent="0.35">
      <c r="A628" s="37" t="s">
        <v>1410</v>
      </c>
      <c r="B628" s="37" t="s">
        <v>1411</v>
      </c>
      <c r="C628" s="18">
        <f>D628+E628+F628+G628+H628+I628</f>
        <v>14</v>
      </c>
      <c r="D628" s="21">
        <v>0</v>
      </c>
      <c r="E628" s="21">
        <v>0</v>
      </c>
      <c r="F628" s="21">
        <v>3</v>
      </c>
      <c r="G628" s="21">
        <v>3</v>
      </c>
      <c r="H628" s="21">
        <v>8</v>
      </c>
      <c r="I628" s="21">
        <v>0</v>
      </c>
      <c r="J628" s="21">
        <v>8</v>
      </c>
      <c r="K628" s="18">
        <f>J628+L628</f>
        <v>11</v>
      </c>
      <c r="L628" s="21">
        <v>3</v>
      </c>
      <c r="M628" s="21">
        <v>4</v>
      </c>
      <c r="N628" s="21">
        <f>54+24</f>
        <v>78</v>
      </c>
      <c r="O628" s="19">
        <f>N628/J628</f>
        <v>9.75</v>
      </c>
      <c r="P628" s="21">
        <v>0</v>
      </c>
      <c r="Q628" s="21">
        <v>0</v>
      </c>
      <c r="R628" s="44">
        <v>23</v>
      </c>
      <c r="S628" s="37">
        <f>41+57</f>
        <v>98</v>
      </c>
      <c r="T628" s="37">
        <v>20</v>
      </c>
      <c r="U628" s="37">
        <v>11</v>
      </c>
      <c r="V628" s="37">
        <f>145+205</f>
        <v>350</v>
      </c>
      <c r="W628" s="19">
        <f>V628/S628</f>
        <v>3.5714285714285716</v>
      </c>
      <c r="X628" s="19">
        <f>V628/U628</f>
        <v>31.818181818181817</v>
      </c>
      <c r="Y628" s="19">
        <f>S628*6/U628</f>
        <v>53.454545454545453</v>
      </c>
      <c r="Z628" s="37" t="s">
        <v>1437</v>
      </c>
      <c r="AA628" s="37">
        <v>0</v>
      </c>
      <c r="AB628" s="37">
        <v>0</v>
      </c>
      <c r="AC628" s="37">
        <v>4</v>
      </c>
    </row>
    <row r="629" spans="1:29" x14ac:dyDescent="0.35">
      <c r="A629" s="1" t="s">
        <v>260</v>
      </c>
      <c r="B629" s="1" t="s">
        <v>452</v>
      </c>
      <c r="C629">
        <f>D629+E629+F629+G629+H629+I629</f>
        <v>62</v>
      </c>
      <c r="D629" s="2">
        <v>60</v>
      </c>
      <c r="E629" s="2">
        <v>0</v>
      </c>
      <c r="F629" s="2">
        <v>1</v>
      </c>
      <c r="G629" s="2">
        <v>1</v>
      </c>
      <c r="H629" s="2">
        <v>0</v>
      </c>
      <c r="I629" s="2">
        <v>0</v>
      </c>
      <c r="J629" s="2">
        <v>62</v>
      </c>
      <c r="K629">
        <f>J629+L629</f>
        <v>63</v>
      </c>
      <c r="L629" s="2">
        <v>1</v>
      </c>
      <c r="M629" s="2">
        <v>2</v>
      </c>
      <c r="N629" s="2">
        <v>1463</v>
      </c>
      <c r="O629" s="3">
        <f>N629/J629</f>
        <v>23.596774193548388</v>
      </c>
      <c r="P629" s="2">
        <v>5</v>
      </c>
      <c r="Q629" s="2">
        <v>2</v>
      </c>
      <c r="R629" s="2">
        <v>117</v>
      </c>
      <c r="S629" s="2">
        <v>2</v>
      </c>
      <c r="T629" s="2">
        <v>0</v>
      </c>
      <c r="U629" s="2">
        <v>0</v>
      </c>
      <c r="V629" s="2">
        <v>3</v>
      </c>
      <c r="W629" s="3">
        <f>V629/S629</f>
        <v>1.5</v>
      </c>
      <c r="X629" s="3" t="e">
        <f>V629/U629</f>
        <v>#DIV/0!</v>
      </c>
      <c r="Y629" s="4" t="e">
        <f>S629*6/U629</f>
        <v>#DIV/0!</v>
      </c>
      <c r="Z629" s="2">
        <v>0</v>
      </c>
      <c r="AA629" s="2">
        <v>0</v>
      </c>
      <c r="AB629" s="2">
        <v>0</v>
      </c>
      <c r="AC629" s="2">
        <v>38</v>
      </c>
    </row>
    <row r="630" spans="1:29" x14ac:dyDescent="0.35">
      <c r="A630" s="1" t="s">
        <v>260</v>
      </c>
      <c r="B630" s="1" t="s">
        <v>212</v>
      </c>
      <c r="C630">
        <f>D630+E630+F630+G630+H630+I630</f>
        <v>65</v>
      </c>
      <c r="D630" s="2">
        <v>0</v>
      </c>
      <c r="E630" s="2">
        <v>0</v>
      </c>
      <c r="F630" s="2">
        <v>2</v>
      </c>
      <c r="G630" s="2">
        <v>35</v>
      </c>
      <c r="H630" s="2">
        <v>23</v>
      </c>
      <c r="I630" s="2">
        <v>5</v>
      </c>
      <c r="J630" s="2">
        <v>40</v>
      </c>
      <c r="K630">
        <f>J630+L630</f>
        <v>48</v>
      </c>
      <c r="L630" s="2">
        <v>8</v>
      </c>
      <c r="M630" s="2">
        <v>19</v>
      </c>
      <c r="N630" s="2">
        <v>614</v>
      </c>
      <c r="O630" s="3">
        <f>N630/J630</f>
        <v>15.35</v>
      </c>
      <c r="P630" s="2">
        <v>3</v>
      </c>
      <c r="Q630" s="2">
        <v>0</v>
      </c>
      <c r="R630" s="2">
        <v>63</v>
      </c>
      <c r="S630" s="2">
        <v>392</v>
      </c>
      <c r="T630" s="2">
        <v>48</v>
      </c>
      <c r="U630" s="2">
        <v>80</v>
      </c>
      <c r="V630" s="2">
        <v>1250</v>
      </c>
      <c r="W630" s="3">
        <f>V630/S630</f>
        <v>3.1887755102040818</v>
      </c>
      <c r="X630" s="3">
        <f>V630/U630</f>
        <v>15.625</v>
      </c>
      <c r="Y630" s="4">
        <f>S630*6/U630</f>
        <v>29.4</v>
      </c>
      <c r="Z630" s="2">
        <v>7</v>
      </c>
      <c r="AA630" s="2">
        <v>4</v>
      </c>
      <c r="AB630" s="2">
        <v>0</v>
      </c>
      <c r="AC630" s="2">
        <v>18</v>
      </c>
    </row>
    <row r="631" spans="1:29" x14ac:dyDescent="0.35">
      <c r="A631" s="1" t="s">
        <v>260</v>
      </c>
      <c r="B631" s="1" t="s">
        <v>242</v>
      </c>
      <c r="C631">
        <f>D631+E631+F631+G631+H631+I631</f>
        <v>63</v>
      </c>
      <c r="D631" s="2">
        <v>0</v>
      </c>
      <c r="E631" s="2">
        <v>7</v>
      </c>
      <c r="F631" s="2">
        <v>11</v>
      </c>
      <c r="G631" s="2">
        <v>21</v>
      </c>
      <c r="H631" s="2">
        <v>15</v>
      </c>
      <c r="I631" s="2">
        <v>9</v>
      </c>
      <c r="J631" s="2">
        <v>83</v>
      </c>
      <c r="K631">
        <f>J631+L631</f>
        <v>87</v>
      </c>
      <c r="L631" s="2">
        <v>4</v>
      </c>
      <c r="M631" s="2">
        <v>5</v>
      </c>
      <c r="N631" s="2">
        <v>1457</v>
      </c>
      <c r="O631" s="3">
        <f>N631/J631</f>
        <v>17.554216867469879</v>
      </c>
      <c r="P631" s="2">
        <v>4</v>
      </c>
      <c r="Q631" s="2">
        <v>3</v>
      </c>
      <c r="R631" s="2">
        <v>142</v>
      </c>
      <c r="S631" s="2">
        <v>267</v>
      </c>
      <c r="T631" s="2">
        <v>47</v>
      </c>
      <c r="U631" s="2">
        <v>56</v>
      </c>
      <c r="V631" s="2">
        <v>947</v>
      </c>
      <c r="W631" s="3">
        <f>V631/S631</f>
        <v>3.5468164794007491</v>
      </c>
      <c r="X631" s="3">
        <f>V631/U631</f>
        <v>16.910714285714285</v>
      </c>
      <c r="Y631" s="4">
        <f>S631*6/U631</f>
        <v>28.607142857142858</v>
      </c>
      <c r="Z631" s="2">
        <v>5</v>
      </c>
      <c r="AA631" s="2">
        <v>1</v>
      </c>
      <c r="AB631" s="2">
        <v>0</v>
      </c>
      <c r="AC631" s="2">
        <v>15</v>
      </c>
    </row>
    <row r="632" spans="1:29" x14ac:dyDescent="0.35">
      <c r="A632" s="1" t="s">
        <v>695</v>
      </c>
      <c r="B632" s="1" t="s">
        <v>696</v>
      </c>
      <c r="C632">
        <f>D632+E632+F632+G632+H632+I632</f>
        <v>16</v>
      </c>
      <c r="D632" s="2">
        <v>0</v>
      </c>
      <c r="E632" s="2">
        <v>14</v>
      </c>
      <c r="F632" s="2">
        <v>1</v>
      </c>
      <c r="G632" s="2">
        <v>1</v>
      </c>
      <c r="H632" s="2">
        <v>0</v>
      </c>
      <c r="I632" s="2">
        <v>0</v>
      </c>
      <c r="J632" s="2">
        <v>19</v>
      </c>
      <c r="K632">
        <f>J632+L632</f>
        <v>20</v>
      </c>
      <c r="L632" s="2">
        <v>1</v>
      </c>
      <c r="M632" s="2">
        <v>1</v>
      </c>
      <c r="N632" s="2">
        <v>235</v>
      </c>
      <c r="O632" s="3">
        <f>N632/J632</f>
        <v>12.368421052631579</v>
      </c>
      <c r="P632" s="2">
        <v>1</v>
      </c>
      <c r="Q632" s="2">
        <v>0</v>
      </c>
      <c r="R632" s="2">
        <v>52</v>
      </c>
      <c r="S632" s="2">
        <v>12</v>
      </c>
      <c r="T632" s="2">
        <v>1</v>
      </c>
      <c r="U632" s="2">
        <v>2</v>
      </c>
      <c r="V632" s="2">
        <v>42</v>
      </c>
      <c r="W632" s="3">
        <f>V632/S632</f>
        <v>3.5</v>
      </c>
      <c r="X632" s="3">
        <f>V632/U632</f>
        <v>21</v>
      </c>
      <c r="Y632" s="4">
        <f>S632*6/U632</f>
        <v>36</v>
      </c>
      <c r="Z632" s="2">
        <v>2</v>
      </c>
      <c r="AA632" s="2">
        <v>0</v>
      </c>
      <c r="AB632" s="2">
        <v>0</v>
      </c>
      <c r="AC632" s="2">
        <v>2</v>
      </c>
    </row>
    <row r="633" spans="1:29" x14ac:dyDescent="0.35">
      <c r="A633" s="1" t="s">
        <v>697</v>
      </c>
      <c r="B633" s="34" t="s">
        <v>193</v>
      </c>
      <c r="C633">
        <f>D633+E633+F633+G633+H633+I633</f>
        <v>3</v>
      </c>
      <c r="D633" s="5">
        <v>0</v>
      </c>
      <c r="E633" s="5">
        <v>2</v>
      </c>
      <c r="F633" s="5">
        <v>0</v>
      </c>
      <c r="G633" s="5">
        <v>1</v>
      </c>
      <c r="H633" s="5">
        <v>0</v>
      </c>
      <c r="I633" s="5">
        <v>0</v>
      </c>
      <c r="J633" s="40">
        <v>3</v>
      </c>
      <c r="K633">
        <f>J633+L633</f>
        <v>3</v>
      </c>
      <c r="L633" s="40">
        <v>0</v>
      </c>
      <c r="M633" s="40">
        <v>0</v>
      </c>
      <c r="N633" s="40">
        <v>30</v>
      </c>
      <c r="O633" s="3">
        <f>N633/J633</f>
        <v>10</v>
      </c>
      <c r="P633" s="40">
        <v>0</v>
      </c>
      <c r="Q633" s="40">
        <v>0</v>
      </c>
      <c r="R633" s="40">
        <v>14</v>
      </c>
      <c r="S633" s="40">
        <v>0</v>
      </c>
      <c r="T633" s="40">
        <v>0</v>
      </c>
      <c r="U633" s="40">
        <v>0</v>
      </c>
      <c r="V633" s="40">
        <v>0</v>
      </c>
      <c r="W633" s="3" t="e">
        <f>V633/S633</f>
        <v>#DIV/0!</v>
      </c>
      <c r="X633" s="3" t="e">
        <f>V633/U633</f>
        <v>#DIV/0!</v>
      </c>
      <c r="Y633" s="4" t="e">
        <f>S633*6/U633</f>
        <v>#DIV/0!</v>
      </c>
      <c r="Z633" s="40">
        <v>0</v>
      </c>
      <c r="AA633" s="40">
        <v>0</v>
      </c>
      <c r="AB633" s="40">
        <v>0</v>
      </c>
      <c r="AC633" s="40">
        <v>1</v>
      </c>
    </row>
    <row r="634" spans="1:29" x14ac:dyDescent="0.35">
      <c r="A634" s="15" t="s">
        <v>697</v>
      </c>
      <c r="B634" s="15" t="s">
        <v>473</v>
      </c>
      <c r="C634" s="18">
        <f>D634+E634+F634+G634+H634+I634</f>
        <v>15</v>
      </c>
      <c r="D634" s="16">
        <v>2</v>
      </c>
      <c r="E634" s="16">
        <v>11</v>
      </c>
      <c r="F634" s="16">
        <v>2</v>
      </c>
      <c r="G634" s="16">
        <v>0</v>
      </c>
      <c r="H634" s="16">
        <v>0</v>
      </c>
      <c r="I634" s="16">
        <v>0</v>
      </c>
      <c r="J634" s="22">
        <v>5</v>
      </c>
      <c r="K634" s="18">
        <f>J634+L634</f>
        <v>8</v>
      </c>
      <c r="L634" s="22">
        <v>3</v>
      </c>
      <c r="M634" s="22">
        <v>8</v>
      </c>
      <c r="N634" s="22">
        <v>53</v>
      </c>
      <c r="O634" s="19">
        <f>N634/J634</f>
        <v>10.6</v>
      </c>
      <c r="P634" s="22">
        <v>0</v>
      </c>
      <c r="Q634" s="22">
        <v>0</v>
      </c>
      <c r="R634" s="22">
        <v>22</v>
      </c>
      <c r="S634" s="22">
        <f>104+28</f>
        <v>132</v>
      </c>
      <c r="T634" s="22">
        <v>40</v>
      </c>
      <c r="U634" s="22">
        <v>15</v>
      </c>
      <c r="V634" s="22">
        <f>326+32</f>
        <v>358</v>
      </c>
      <c r="W634" s="19">
        <f>V634/S634</f>
        <v>2.7121212121212119</v>
      </c>
      <c r="X634" s="19">
        <f>V634/U634</f>
        <v>23.866666666666667</v>
      </c>
      <c r="Y634" s="19">
        <f>S634*6/U634</f>
        <v>52.8</v>
      </c>
      <c r="Z634" s="22" t="s">
        <v>1403</v>
      </c>
      <c r="AA634" s="22">
        <v>0</v>
      </c>
      <c r="AB634" s="22">
        <v>0</v>
      </c>
      <c r="AC634" s="22">
        <v>0</v>
      </c>
    </row>
    <row r="635" spans="1:29" x14ac:dyDescent="0.35">
      <c r="A635" s="1" t="s">
        <v>698</v>
      </c>
      <c r="B635" s="1" t="s">
        <v>344</v>
      </c>
      <c r="C635">
        <f>D635+E635+F635+G635+H635+I635</f>
        <v>1</v>
      </c>
      <c r="D635" s="2">
        <v>0</v>
      </c>
      <c r="E635" s="2">
        <v>0</v>
      </c>
      <c r="F635" s="2">
        <v>0</v>
      </c>
      <c r="G635" s="2">
        <v>0</v>
      </c>
      <c r="H635" s="2">
        <v>0</v>
      </c>
      <c r="I635" s="2">
        <v>1</v>
      </c>
      <c r="J635" s="2">
        <v>1</v>
      </c>
      <c r="K635">
        <f>J635+L635</f>
        <v>1</v>
      </c>
      <c r="L635" s="2">
        <v>0</v>
      </c>
      <c r="M635" s="2">
        <v>0</v>
      </c>
      <c r="N635" s="2">
        <v>6</v>
      </c>
      <c r="O635" s="3">
        <f>N635/J635</f>
        <v>6</v>
      </c>
      <c r="P635" s="2">
        <v>0</v>
      </c>
      <c r="Q635" s="2">
        <v>0</v>
      </c>
      <c r="R635" s="2">
        <v>6</v>
      </c>
      <c r="S635" s="2">
        <v>0</v>
      </c>
      <c r="T635" s="2">
        <v>0</v>
      </c>
      <c r="U635" s="2">
        <v>0</v>
      </c>
      <c r="V635" s="2">
        <v>0</v>
      </c>
      <c r="W635" s="3" t="e">
        <f>V635/S635</f>
        <v>#DIV/0!</v>
      </c>
      <c r="X635" s="3" t="e">
        <f>V635/U635</f>
        <v>#DIV/0!</v>
      </c>
      <c r="Y635" s="4" t="e">
        <f>S635*6/U635</f>
        <v>#DIV/0!</v>
      </c>
      <c r="Z635" s="2">
        <v>0</v>
      </c>
      <c r="AA635" s="2">
        <v>0</v>
      </c>
      <c r="AB635" s="2">
        <v>0</v>
      </c>
      <c r="AC635" s="2">
        <v>0</v>
      </c>
    </row>
    <row r="636" spans="1:29" x14ac:dyDescent="0.35">
      <c r="A636" s="1" t="s">
        <v>699</v>
      </c>
      <c r="B636" s="1" t="s">
        <v>700</v>
      </c>
      <c r="C636">
        <f>D636+E636+F636+G636+H636+I636</f>
        <v>1</v>
      </c>
      <c r="D636" s="2">
        <v>0</v>
      </c>
      <c r="E636" s="2">
        <v>0</v>
      </c>
      <c r="F636" s="2">
        <v>1</v>
      </c>
      <c r="G636" s="2">
        <v>0</v>
      </c>
      <c r="H636" s="2">
        <v>0</v>
      </c>
      <c r="I636" s="2">
        <v>0</v>
      </c>
      <c r="J636" s="2">
        <v>1</v>
      </c>
      <c r="K636">
        <f>J636+L636</f>
        <v>1</v>
      </c>
      <c r="L636" s="2">
        <v>0</v>
      </c>
      <c r="M636" s="2">
        <v>0</v>
      </c>
      <c r="N636" s="2">
        <v>0</v>
      </c>
      <c r="O636" s="3">
        <f>N636/J636</f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>
        <v>0</v>
      </c>
      <c r="V636" s="2">
        <v>0</v>
      </c>
      <c r="W636" s="3" t="e">
        <f>V636/S636</f>
        <v>#DIV/0!</v>
      </c>
      <c r="X636" s="3" t="e">
        <f>V636/U636</f>
        <v>#DIV/0!</v>
      </c>
      <c r="Y636" s="4" t="e">
        <f>S636*6/U636</f>
        <v>#DIV/0!</v>
      </c>
      <c r="Z636" s="2">
        <v>0</v>
      </c>
      <c r="AA636" s="2">
        <v>0</v>
      </c>
      <c r="AB636" s="2">
        <v>0</v>
      </c>
      <c r="AC636" s="2">
        <v>2</v>
      </c>
    </row>
    <row r="637" spans="1:29" x14ac:dyDescent="0.35">
      <c r="A637" s="1" t="s">
        <v>701</v>
      </c>
      <c r="B637" s="1" t="s">
        <v>32</v>
      </c>
      <c r="C637">
        <f>D637+E637+F637+G637+H637+I637</f>
        <v>27</v>
      </c>
      <c r="D637" s="2">
        <v>0</v>
      </c>
      <c r="E637" s="2">
        <v>0</v>
      </c>
      <c r="F637" s="2">
        <v>0</v>
      </c>
      <c r="G637" s="2">
        <v>13</v>
      </c>
      <c r="H637" s="2">
        <v>14</v>
      </c>
      <c r="I637" s="2">
        <v>0</v>
      </c>
      <c r="J637" s="2">
        <v>14</v>
      </c>
      <c r="K637">
        <f>J637+L637</f>
        <v>22</v>
      </c>
      <c r="L637" s="2">
        <v>8</v>
      </c>
      <c r="M637" s="2">
        <v>8</v>
      </c>
      <c r="N637" s="2">
        <v>151</v>
      </c>
      <c r="O637" s="3">
        <f>N637/J637</f>
        <v>10.785714285714286</v>
      </c>
      <c r="P637" s="2">
        <v>0</v>
      </c>
      <c r="Q637" s="2">
        <v>0</v>
      </c>
      <c r="R637" s="2">
        <v>28</v>
      </c>
      <c r="S637" s="2">
        <v>410</v>
      </c>
      <c r="T637" s="2">
        <v>100</v>
      </c>
      <c r="U637" s="2">
        <v>57</v>
      </c>
      <c r="V637" s="2">
        <v>1197</v>
      </c>
      <c r="W637" s="3">
        <f>V637/S637</f>
        <v>2.9195121951219511</v>
      </c>
      <c r="X637" s="3">
        <f>V637/U637</f>
        <v>21</v>
      </c>
      <c r="Y637" s="4">
        <f>S637*6/U637</f>
        <v>43.157894736842103</v>
      </c>
      <c r="Z637" s="2">
        <v>7</v>
      </c>
      <c r="AA637" s="2">
        <v>1</v>
      </c>
      <c r="AB637" s="2">
        <v>0</v>
      </c>
      <c r="AC637" s="2">
        <v>2</v>
      </c>
    </row>
    <row r="638" spans="1:29" x14ac:dyDescent="0.35">
      <c r="A638" s="1" t="s">
        <v>702</v>
      </c>
      <c r="B638" s="1" t="s">
        <v>190</v>
      </c>
      <c r="C638">
        <f>D638+E638+F638+G638+H638+I638</f>
        <v>3</v>
      </c>
      <c r="D638" s="2">
        <v>0</v>
      </c>
      <c r="E638" s="2">
        <v>0</v>
      </c>
      <c r="F638" s="2">
        <v>0</v>
      </c>
      <c r="G638" s="2">
        <v>0</v>
      </c>
      <c r="H638" s="2">
        <v>1</v>
      </c>
      <c r="I638" s="2">
        <v>2</v>
      </c>
      <c r="J638" s="2">
        <v>2</v>
      </c>
      <c r="K638">
        <f>J638+L638</f>
        <v>2</v>
      </c>
      <c r="L638" s="2">
        <v>0</v>
      </c>
      <c r="M638" s="2">
        <v>2</v>
      </c>
      <c r="N638" s="2">
        <v>3</v>
      </c>
      <c r="O638" s="3">
        <f>N638/J638</f>
        <v>1.5</v>
      </c>
      <c r="P638" s="2">
        <v>0</v>
      </c>
      <c r="Q638" s="2">
        <v>0</v>
      </c>
      <c r="R638" s="2">
        <v>2</v>
      </c>
      <c r="S638" s="2">
        <v>33</v>
      </c>
      <c r="T638" s="2">
        <v>9</v>
      </c>
      <c r="U638" s="2">
        <v>6</v>
      </c>
      <c r="V638" s="2">
        <v>91</v>
      </c>
      <c r="W638" s="3">
        <f>V638/S638</f>
        <v>2.7575757575757578</v>
      </c>
      <c r="X638" s="3">
        <f>V638/U638</f>
        <v>15.166666666666666</v>
      </c>
      <c r="Y638" s="4">
        <f>S638*6/U638</f>
        <v>33</v>
      </c>
      <c r="Z638" s="2">
        <v>6</v>
      </c>
      <c r="AA638" s="2">
        <v>1</v>
      </c>
      <c r="AB638" s="2">
        <v>0</v>
      </c>
      <c r="AC638" s="2">
        <v>0</v>
      </c>
    </row>
    <row r="639" spans="1:29" x14ac:dyDescent="0.35">
      <c r="A639" s="1" t="s">
        <v>703</v>
      </c>
      <c r="B639" s="1" t="s">
        <v>498</v>
      </c>
      <c r="C639">
        <f>D639+E639+F639+G639+H639+I639</f>
        <v>44</v>
      </c>
      <c r="D639" s="2">
        <v>0</v>
      </c>
      <c r="E639" s="2">
        <v>0</v>
      </c>
      <c r="F639" s="2">
        <v>0</v>
      </c>
      <c r="G639" s="2">
        <v>16</v>
      </c>
      <c r="H639" s="2">
        <v>24</v>
      </c>
      <c r="I639" s="2">
        <v>4</v>
      </c>
      <c r="J639" s="2">
        <v>35</v>
      </c>
      <c r="K639">
        <f>J639+L639</f>
        <v>39</v>
      </c>
      <c r="L639" s="2">
        <v>4</v>
      </c>
      <c r="M639" s="2">
        <v>7</v>
      </c>
      <c r="N639" s="2">
        <v>813</v>
      </c>
      <c r="O639" s="3">
        <f>N639/J639</f>
        <v>23.228571428571428</v>
      </c>
      <c r="P639" s="2">
        <v>3</v>
      </c>
      <c r="Q639" s="2">
        <v>1</v>
      </c>
      <c r="R639" s="2">
        <v>103</v>
      </c>
      <c r="S639" s="2">
        <v>260</v>
      </c>
      <c r="T639" s="2">
        <v>76</v>
      </c>
      <c r="U639" s="2">
        <v>33</v>
      </c>
      <c r="V639" s="2">
        <v>726</v>
      </c>
      <c r="W639" s="3">
        <f>V639/S639</f>
        <v>2.7923076923076922</v>
      </c>
      <c r="X639" s="3">
        <f>V639/U639</f>
        <v>22</v>
      </c>
      <c r="Y639" s="4">
        <f>S639*6/U639</f>
        <v>47.272727272727273</v>
      </c>
      <c r="Z639" s="2">
        <v>3</v>
      </c>
      <c r="AA639" s="2">
        <v>0</v>
      </c>
      <c r="AB639" s="2">
        <v>0</v>
      </c>
      <c r="AC639" s="2">
        <v>10</v>
      </c>
    </row>
    <row r="640" spans="1:29" x14ac:dyDescent="0.35">
      <c r="A640" s="1" t="s">
        <v>703</v>
      </c>
      <c r="B640" s="1" t="s">
        <v>564</v>
      </c>
      <c r="C640">
        <f>D640+E640+F640+G640+H640+I640</f>
        <v>13</v>
      </c>
      <c r="D640" s="2">
        <v>0</v>
      </c>
      <c r="E640" s="2">
        <v>0</v>
      </c>
      <c r="F640" s="2">
        <v>0</v>
      </c>
      <c r="G640" s="2">
        <v>1</v>
      </c>
      <c r="H640" s="2">
        <v>0</v>
      </c>
      <c r="I640" s="2">
        <v>12</v>
      </c>
      <c r="J640" s="2">
        <v>6</v>
      </c>
      <c r="K640">
        <f>J640+L640</f>
        <v>8</v>
      </c>
      <c r="L640" s="2">
        <v>2</v>
      </c>
      <c r="M640" s="2">
        <v>6</v>
      </c>
      <c r="N640" s="2">
        <v>54</v>
      </c>
      <c r="O640" s="3">
        <f>N640/J640</f>
        <v>9</v>
      </c>
      <c r="P640" s="2">
        <v>0</v>
      </c>
      <c r="Q640" s="2">
        <v>0</v>
      </c>
      <c r="R640" s="2">
        <v>25</v>
      </c>
      <c r="S640" s="2">
        <v>1</v>
      </c>
      <c r="T640" s="2">
        <v>0</v>
      </c>
      <c r="U640" s="2">
        <v>0</v>
      </c>
      <c r="V640" s="2">
        <v>4</v>
      </c>
      <c r="W640" s="3">
        <f>V640/S640</f>
        <v>4</v>
      </c>
      <c r="X640" s="3" t="e">
        <f>V640/U640</f>
        <v>#DIV/0!</v>
      </c>
      <c r="Y640" s="4" t="e">
        <f>S640*6/U640</f>
        <v>#DIV/0!</v>
      </c>
      <c r="Z640" s="2">
        <v>0</v>
      </c>
      <c r="AA640" s="2">
        <v>0</v>
      </c>
      <c r="AB640" s="2">
        <v>0</v>
      </c>
      <c r="AC640" s="2">
        <v>1</v>
      </c>
    </row>
    <row r="641" spans="1:29" x14ac:dyDescent="0.35">
      <c r="A641" s="1" t="s">
        <v>704</v>
      </c>
      <c r="B641" s="1" t="s">
        <v>281</v>
      </c>
      <c r="C641">
        <f>D641+E641+F641+G641+H641+I641</f>
        <v>2</v>
      </c>
      <c r="D641" s="2">
        <v>0</v>
      </c>
      <c r="E641" s="2">
        <v>0</v>
      </c>
      <c r="F641" s="2">
        <v>0</v>
      </c>
      <c r="G641" s="2">
        <v>0</v>
      </c>
      <c r="H641" s="2">
        <v>2</v>
      </c>
      <c r="I641" s="2">
        <v>0</v>
      </c>
      <c r="J641" s="2">
        <v>1</v>
      </c>
      <c r="K641">
        <f>J641+L641</f>
        <v>2</v>
      </c>
      <c r="L641" s="2">
        <v>1</v>
      </c>
      <c r="M641" s="2">
        <v>0</v>
      </c>
      <c r="N641" s="2">
        <v>101</v>
      </c>
      <c r="O641" s="3">
        <f>N641/J641</f>
        <v>101</v>
      </c>
      <c r="P641" s="2">
        <v>1</v>
      </c>
      <c r="Q641" s="2">
        <v>0</v>
      </c>
      <c r="R641" s="2">
        <v>90</v>
      </c>
      <c r="S641" s="2">
        <v>0</v>
      </c>
      <c r="T641" s="2">
        <v>0</v>
      </c>
      <c r="U641" s="2">
        <v>0</v>
      </c>
      <c r="V641" s="2">
        <v>0</v>
      </c>
      <c r="W641" s="3" t="e">
        <f>V641/S641</f>
        <v>#DIV/0!</v>
      </c>
      <c r="X641" s="3" t="e">
        <f>V641/U641</f>
        <v>#DIV/0!</v>
      </c>
      <c r="Y641" s="4" t="e">
        <f>S641*6/U641</f>
        <v>#DIV/0!</v>
      </c>
      <c r="Z641" s="2">
        <v>0</v>
      </c>
      <c r="AA641" s="2">
        <v>0</v>
      </c>
      <c r="AB641" s="2">
        <v>0</v>
      </c>
      <c r="AC641" s="2">
        <v>0</v>
      </c>
    </row>
    <row r="642" spans="1:29" x14ac:dyDescent="0.35">
      <c r="A642" s="1" t="s">
        <v>705</v>
      </c>
      <c r="B642" s="1" t="s">
        <v>87</v>
      </c>
      <c r="C642">
        <f>D642+E642+F642+G642+H642+I642</f>
        <v>67</v>
      </c>
      <c r="D642" s="2">
        <v>2</v>
      </c>
      <c r="E642" s="2">
        <v>33</v>
      </c>
      <c r="F642" s="2">
        <v>11</v>
      </c>
      <c r="G642" s="2">
        <v>7</v>
      </c>
      <c r="H642" s="2">
        <v>11</v>
      </c>
      <c r="I642" s="2">
        <v>3</v>
      </c>
      <c r="J642" s="2">
        <v>56</v>
      </c>
      <c r="K642">
        <f>J642+L642</f>
        <v>60</v>
      </c>
      <c r="L642" s="2">
        <v>4</v>
      </c>
      <c r="M642" s="2">
        <v>15</v>
      </c>
      <c r="N642" s="2">
        <v>881</v>
      </c>
      <c r="O642" s="3">
        <f>N642/J642</f>
        <v>15.732142857142858</v>
      </c>
      <c r="P642" s="2">
        <v>4</v>
      </c>
      <c r="Q642" s="2">
        <v>0</v>
      </c>
      <c r="R642" s="2">
        <v>79</v>
      </c>
      <c r="S642" s="2">
        <v>395</v>
      </c>
      <c r="T642" s="2">
        <v>65</v>
      </c>
      <c r="U642" s="2">
        <v>53</v>
      </c>
      <c r="V642" s="2">
        <v>1348</v>
      </c>
      <c r="W642" s="3">
        <f>V642/S642</f>
        <v>3.4126582278481012</v>
      </c>
      <c r="X642" s="3">
        <f>V642/U642</f>
        <v>25.433962264150942</v>
      </c>
      <c r="Y642" s="4">
        <f>S642*6/U642</f>
        <v>44.716981132075475</v>
      </c>
      <c r="Z642" s="2">
        <v>5</v>
      </c>
      <c r="AA642" s="2">
        <v>0</v>
      </c>
      <c r="AB642" s="2">
        <v>0</v>
      </c>
      <c r="AC642" s="2">
        <v>24</v>
      </c>
    </row>
    <row r="643" spans="1:29" x14ac:dyDescent="0.35">
      <c r="A643" s="1" t="s">
        <v>705</v>
      </c>
      <c r="B643" s="1" t="s">
        <v>212</v>
      </c>
      <c r="C643">
        <f>D643+E643+F643+G643+H643+I643</f>
        <v>53</v>
      </c>
      <c r="D643" s="2">
        <v>0</v>
      </c>
      <c r="E643" s="2">
        <v>10</v>
      </c>
      <c r="F643" s="2">
        <v>10</v>
      </c>
      <c r="G643" s="2">
        <v>11</v>
      </c>
      <c r="H643" s="2">
        <v>22</v>
      </c>
      <c r="I643" s="2">
        <v>0</v>
      </c>
      <c r="J643" s="2">
        <v>55</v>
      </c>
      <c r="K643">
        <f>J643+L643</f>
        <v>62</v>
      </c>
      <c r="L643" s="2">
        <v>7</v>
      </c>
      <c r="M643" s="2">
        <v>6</v>
      </c>
      <c r="N643" s="2">
        <v>1519</v>
      </c>
      <c r="O643" s="3">
        <f>N643/J643</f>
        <v>27.618181818181817</v>
      </c>
      <c r="P643" s="2">
        <v>7</v>
      </c>
      <c r="Q643" s="2">
        <v>2</v>
      </c>
      <c r="R643" s="2">
        <v>103</v>
      </c>
      <c r="S643" s="2">
        <v>0</v>
      </c>
      <c r="T643" s="2">
        <v>0</v>
      </c>
      <c r="U643" s="2">
        <v>0</v>
      </c>
      <c r="V643" s="2">
        <v>0</v>
      </c>
      <c r="W643" s="3" t="e">
        <f>V643/S643</f>
        <v>#DIV/0!</v>
      </c>
      <c r="X643" s="3" t="e">
        <f>V643/U643</f>
        <v>#DIV/0!</v>
      </c>
      <c r="Y643" s="4" t="e">
        <f>S643*6/U643</f>
        <v>#DIV/0!</v>
      </c>
      <c r="Z643" s="2">
        <v>0</v>
      </c>
      <c r="AA643" s="2">
        <v>0</v>
      </c>
      <c r="AB643" s="2">
        <v>0</v>
      </c>
      <c r="AC643" s="2">
        <v>19</v>
      </c>
    </row>
    <row r="644" spans="1:29" x14ac:dyDescent="0.35">
      <c r="A644" s="15" t="s">
        <v>705</v>
      </c>
      <c r="B644" s="15" t="s">
        <v>281</v>
      </c>
      <c r="C644" s="18">
        <f>D644+E644+F644+G644+H644+I644</f>
        <v>57</v>
      </c>
      <c r="D644" s="16">
        <v>0</v>
      </c>
      <c r="E644" s="16">
        <v>3</v>
      </c>
      <c r="F644" s="16">
        <v>1</v>
      </c>
      <c r="G644" s="16">
        <v>32</v>
      </c>
      <c r="H644" s="16">
        <v>21</v>
      </c>
      <c r="I644" s="16">
        <v>0</v>
      </c>
      <c r="J644" s="16">
        <v>44</v>
      </c>
      <c r="K644" s="18">
        <f>J644+L644</f>
        <v>49</v>
      </c>
      <c r="L644" s="16">
        <v>5</v>
      </c>
      <c r="M644" s="16">
        <v>9</v>
      </c>
      <c r="N644" s="16">
        <f>199+156</f>
        <v>355</v>
      </c>
      <c r="O644" s="19">
        <f>N644/J644</f>
        <v>8.0681818181818183</v>
      </c>
      <c r="P644" s="16">
        <v>1</v>
      </c>
      <c r="Q644" s="16">
        <v>0</v>
      </c>
      <c r="R644" s="16" t="s">
        <v>1214</v>
      </c>
      <c r="S644" s="16">
        <f>106.3+25</f>
        <v>131.30000000000001</v>
      </c>
      <c r="T644" s="16">
        <v>8</v>
      </c>
      <c r="U644" s="16">
        <v>22</v>
      </c>
      <c r="V644" s="16">
        <f>524+155</f>
        <v>679</v>
      </c>
      <c r="W644" s="19">
        <f>V644/S644</f>
        <v>5.1713632901751705</v>
      </c>
      <c r="X644" s="19">
        <f>V644/U644</f>
        <v>30.863636363636363</v>
      </c>
      <c r="Y644" s="20">
        <f>S644*6/U644</f>
        <v>35.809090909090912</v>
      </c>
      <c r="Z644" s="16">
        <v>4</v>
      </c>
      <c r="AA644" s="16">
        <v>0</v>
      </c>
      <c r="AB644" s="16">
        <v>0</v>
      </c>
      <c r="AC644" s="16">
        <v>7</v>
      </c>
    </row>
    <row r="645" spans="1:29" x14ac:dyDescent="0.35">
      <c r="A645" s="1" t="s">
        <v>705</v>
      </c>
      <c r="B645" s="1" t="s">
        <v>694</v>
      </c>
      <c r="C645">
        <f>D645+E645+F645+G645+H645+I645</f>
        <v>2</v>
      </c>
      <c r="D645" s="2">
        <v>0</v>
      </c>
      <c r="E645" s="2">
        <v>1</v>
      </c>
      <c r="F645" s="2">
        <v>0</v>
      </c>
      <c r="G645" s="2">
        <v>0</v>
      </c>
      <c r="H645" s="2">
        <v>0</v>
      </c>
      <c r="I645" s="2">
        <v>1</v>
      </c>
      <c r="J645" s="2">
        <v>2</v>
      </c>
      <c r="K645">
        <f>J645+L645</f>
        <v>3</v>
      </c>
      <c r="L645" s="2">
        <v>1</v>
      </c>
      <c r="M645" s="2">
        <v>0</v>
      </c>
      <c r="N645" s="2">
        <v>7</v>
      </c>
      <c r="O645" s="3">
        <f>N645/J645</f>
        <v>3.5</v>
      </c>
      <c r="P645" s="2">
        <v>0</v>
      </c>
      <c r="Q645" s="2">
        <v>0</v>
      </c>
      <c r="R645" s="2">
        <v>5</v>
      </c>
      <c r="S645" s="2">
        <v>0</v>
      </c>
      <c r="T645" s="2">
        <v>0</v>
      </c>
      <c r="U645" s="2">
        <v>0</v>
      </c>
      <c r="V645" s="2">
        <v>0</v>
      </c>
      <c r="W645" s="3" t="e">
        <f>V645/S645</f>
        <v>#DIV/0!</v>
      </c>
      <c r="X645" s="3" t="e">
        <f>V645/U645</f>
        <v>#DIV/0!</v>
      </c>
      <c r="Y645" s="4" t="e">
        <f>S645*6/U645</f>
        <v>#DIV/0!</v>
      </c>
      <c r="Z645" s="2">
        <v>0</v>
      </c>
      <c r="AA645" s="2">
        <v>0</v>
      </c>
      <c r="AB645" s="2">
        <v>0</v>
      </c>
      <c r="AC645" s="2">
        <v>0</v>
      </c>
    </row>
    <row r="646" spans="1:29" x14ac:dyDescent="0.35">
      <c r="A646" s="1" t="s">
        <v>706</v>
      </c>
      <c r="B646" s="1" t="s">
        <v>20</v>
      </c>
      <c r="C646">
        <f>D646+E646+F646+G646+H646+I646</f>
        <v>94</v>
      </c>
      <c r="D646" s="2">
        <v>0</v>
      </c>
      <c r="E646" s="2">
        <v>2</v>
      </c>
      <c r="F646" s="2">
        <v>3</v>
      </c>
      <c r="G646" s="2">
        <v>41</v>
      </c>
      <c r="H646" s="2">
        <v>48</v>
      </c>
      <c r="I646" s="2">
        <v>0</v>
      </c>
      <c r="J646" s="2">
        <v>46</v>
      </c>
      <c r="K646">
        <f>J646+L646</f>
        <v>59</v>
      </c>
      <c r="L646" s="2">
        <v>13</v>
      </c>
      <c r="M646" s="2">
        <v>42</v>
      </c>
      <c r="N646" s="2">
        <v>651</v>
      </c>
      <c r="O646" s="3">
        <f>N646/J646</f>
        <v>14.152173913043478</v>
      </c>
      <c r="P646" s="2">
        <v>2</v>
      </c>
      <c r="Q646" s="2">
        <v>0</v>
      </c>
      <c r="R646" s="2">
        <v>67</v>
      </c>
      <c r="S646" s="2">
        <v>603</v>
      </c>
      <c r="T646" s="2">
        <v>111</v>
      </c>
      <c r="U646" s="2">
        <v>118</v>
      </c>
      <c r="V646" s="2">
        <f>1993+20</f>
        <v>2013</v>
      </c>
      <c r="W646" s="3">
        <f>V646/S646</f>
        <v>3.3383084577114426</v>
      </c>
      <c r="X646" s="3">
        <f>V646/U646</f>
        <v>17.059322033898304</v>
      </c>
      <c r="Y646" s="4">
        <f>S646*6/U646</f>
        <v>30.661016949152543</v>
      </c>
      <c r="Z646" s="2">
        <v>6</v>
      </c>
      <c r="AA646" s="2">
        <v>2</v>
      </c>
      <c r="AB646" s="2">
        <v>0</v>
      </c>
      <c r="AC646" s="2">
        <v>21</v>
      </c>
    </row>
    <row r="647" spans="1:29" x14ac:dyDescent="0.35">
      <c r="A647" s="1" t="s">
        <v>706</v>
      </c>
      <c r="B647" s="1" t="s">
        <v>395</v>
      </c>
      <c r="C647">
        <f>D647+E647+F647+G647+H647+I647</f>
        <v>1</v>
      </c>
      <c r="D647" s="2">
        <v>0</v>
      </c>
      <c r="E647" s="2">
        <v>0</v>
      </c>
      <c r="F647" s="2">
        <v>0</v>
      </c>
      <c r="G647" s="2">
        <v>1</v>
      </c>
      <c r="H647" s="2">
        <v>0</v>
      </c>
      <c r="I647" s="2">
        <v>0</v>
      </c>
      <c r="J647" s="2">
        <v>0</v>
      </c>
      <c r="K647">
        <f>J647+L647</f>
        <v>0</v>
      </c>
      <c r="L647" s="2">
        <v>0</v>
      </c>
      <c r="M647" s="2">
        <v>1</v>
      </c>
      <c r="N647" s="2">
        <v>0</v>
      </c>
      <c r="O647" s="3" t="e">
        <f>N647/J647</f>
        <v>#DIV/0!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>
        <v>0</v>
      </c>
      <c r="V647" s="2">
        <v>0</v>
      </c>
      <c r="W647" s="3" t="e">
        <f>V647/S647</f>
        <v>#DIV/0!</v>
      </c>
      <c r="X647" s="3" t="e">
        <f>V647/U647</f>
        <v>#DIV/0!</v>
      </c>
      <c r="Y647" s="4" t="e">
        <f>S647*6/U647</f>
        <v>#DIV/0!</v>
      </c>
      <c r="Z647" s="2">
        <v>0</v>
      </c>
      <c r="AA647" s="2">
        <v>0</v>
      </c>
      <c r="AB647" s="2">
        <v>0</v>
      </c>
      <c r="AC647" s="2">
        <v>0</v>
      </c>
    </row>
    <row r="648" spans="1:29" x14ac:dyDescent="0.35">
      <c r="A648" s="1" t="s">
        <v>707</v>
      </c>
      <c r="B648" s="1" t="s">
        <v>176</v>
      </c>
      <c r="C648">
        <f>D648+E648+F648+G648+H648+I648</f>
        <v>11</v>
      </c>
      <c r="D648" s="2">
        <v>10</v>
      </c>
      <c r="E648" s="2">
        <v>0</v>
      </c>
      <c r="F648" s="2">
        <v>1</v>
      </c>
      <c r="G648" s="2">
        <v>0</v>
      </c>
      <c r="H648" s="2">
        <v>0</v>
      </c>
      <c r="I648" s="2">
        <v>0</v>
      </c>
      <c r="J648" s="2">
        <v>7</v>
      </c>
      <c r="K648">
        <f>J648+L648</f>
        <v>8</v>
      </c>
      <c r="L648" s="2">
        <v>1</v>
      </c>
      <c r="M648" s="2">
        <v>3</v>
      </c>
      <c r="N648" s="2">
        <v>85</v>
      </c>
      <c r="O648" s="3">
        <f>N648/J648</f>
        <v>12.142857142857142</v>
      </c>
      <c r="P648" s="2">
        <v>0</v>
      </c>
      <c r="Q648" s="2">
        <v>0</v>
      </c>
      <c r="R648" s="2">
        <v>21</v>
      </c>
      <c r="S648" s="2">
        <v>83</v>
      </c>
      <c r="T648" s="2">
        <v>22</v>
      </c>
      <c r="U648" s="2">
        <v>14</v>
      </c>
      <c r="V648" s="2">
        <v>234</v>
      </c>
      <c r="W648" s="3">
        <f>V648/S648</f>
        <v>2.8192771084337349</v>
      </c>
      <c r="X648" s="3">
        <f>V648/U648</f>
        <v>16.714285714285715</v>
      </c>
      <c r="Y648" s="4">
        <f>S648*6/U648</f>
        <v>35.571428571428569</v>
      </c>
      <c r="Z648" s="2">
        <v>4</v>
      </c>
      <c r="AA648" s="2">
        <v>0</v>
      </c>
      <c r="AB648" s="2">
        <v>0</v>
      </c>
      <c r="AC648" s="2">
        <v>0</v>
      </c>
    </row>
    <row r="649" spans="1:29" x14ac:dyDescent="0.35">
      <c r="A649" s="1" t="s">
        <v>707</v>
      </c>
      <c r="B649" s="1" t="s">
        <v>242</v>
      </c>
      <c r="C649">
        <f>D649+E649+F649+G649+H649+I649</f>
        <v>1</v>
      </c>
      <c r="D649" s="2">
        <v>0</v>
      </c>
      <c r="E649" s="2">
        <v>0</v>
      </c>
      <c r="F649" s="2">
        <v>1</v>
      </c>
      <c r="G649" s="2">
        <v>0</v>
      </c>
      <c r="H649" s="2">
        <v>0</v>
      </c>
      <c r="I649" s="2">
        <v>0</v>
      </c>
      <c r="J649" s="2">
        <v>1</v>
      </c>
      <c r="K649">
        <f>J649+L649</f>
        <v>1</v>
      </c>
      <c r="L649" s="2">
        <v>0</v>
      </c>
      <c r="M649" s="2">
        <v>0</v>
      </c>
      <c r="N649" s="2">
        <v>8</v>
      </c>
      <c r="O649" s="3">
        <f>N649/J649</f>
        <v>8</v>
      </c>
      <c r="P649" s="2">
        <v>0</v>
      </c>
      <c r="Q649" s="2">
        <v>0</v>
      </c>
      <c r="R649" s="2">
        <v>8</v>
      </c>
      <c r="S649" s="2">
        <v>0</v>
      </c>
      <c r="T649" s="2">
        <v>0</v>
      </c>
      <c r="U649" s="2">
        <v>0</v>
      </c>
      <c r="V649" s="2">
        <v>0</v>
      </c>
      <c r="W649" s="3" t="e">
        <f>V649/S649</f>
        <v>#DIV/0!</v>
      </c>
      <c r="X649" s="3" t="e">
        <f>V649/U649</f>
        <v>#DIV/0!</v>
      </c>
      <c r="Y649" s="4" t="e">
        <f>S649*6/U649</f>
        <v>#DIV/0!</v>
      </c>
      <c r="Z649" s="2">
        <v>0</v>
      </c>
      <c r="AA649" s="2">
        <v>0</v>
      </c>
      <c r="AB649" s="2">
        <v>0</v>
      </c>
      <c r="AC649" s="2">
        <v>0</v>
      </c>
    </row>
    <row r="650" spans="1:29" x14ac:dyDescent="0.35">
      <c r="A650" s="1" t="s">
        <v>708</v>
      </c>
      <c r="B650" s="1" t="s">
        <v>18</v>
      </c>
      <c r="C650">
        <f>D650+E650+F650+G650+H650+I650</f>
        <v>1</v>
      </c>
      <c r="D650" s="2">
        <v>0</v>
      </c>
      <c r="E650" s="2">
        <v>0</v>
      </c>
      <c r="F650" s="2">
        <v>0</v>
      </c>
      <c r="G650" s="2">
        <v>0</v>
      </c>
      <c r="H650" s="2">
        <v>0</v>
      </c>
      <c r="I650" s="2">
        <v>1</v>
      </c>
      <c r="J650" s="2">
        <v>1</v>
      </c>
      <c r="K650">
        <f>J650+L650</f>
        <v>1</v>
      </c>
      <c r="L650" s="2">
        <v>0</v>
      </c>
      <c r="M650" s="2">
        <v>0</v>
      </c>
      <c r="N650" s="2">
        <v>19</v>
      </c>
      <c r="O650" s="3">
        <f>N650/J650</f>
        <v>19</v>
      </c>
      <c r="P650" s="2">
        <v>0</v>
      </c>
      <c r="Q650" s="2">
        <v>0</v>
      </c>
      <c r="R650" s="2">
        <v>19</v>
      </c>
      <c r="S650" s="2">
        <v>8</v>
      </c>
      <c r="T650" s="2">
        <v>1</v>
      </c>
      <c r="U650" s="2">
        <v>1</v>
      </c>
      <c r="V650" s="2">
        <v>49</v>
      </c>
      <c r="W650" s="3">
        <f>V650/S650</f>
        <v>6.125</v>
      </c>
      <c r="X650" s="3">
        <f>V650/U650</f>
        <v>49</v>
      </c>
      <c r="Y650" s="4">
        <f>S650*6/U650</f>
        <v>48</v>
      </c>
      <c r="Z650" s="2">
        <v>1</v>
      </c>
      <c r="AA650" s="2">
        <v>0</v>
      </c>
      <c r="AB650" s="2">
        <v>0</v>
      </c>
      <c r="AC650" s="2">
        <v>0</v>
      </c>
    </row>
    <row r="651" spans="1:29" x14ac:dyDescent="0.35">
      <c r="A651" s="7" t="s">
        <v>1291</v>
      </c>
      <c r="B651" s="7" t="s">
        <v>154</v>
      </c>
      <c r="C651">
        <f>D651+E651+F651+G651+H651+I651</f>
        <v>1</v>
      </c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1</v>
      </c>
      <c r="J651" s="5">
        <v>1</v>
      </c>
      <c r="K651">
        <f>J651+L651</f>
        <v>1</v>
      </c>
      <c r="L651" s="5">
        <v>0</v>
      </c>
      <c r="M651" s="5">
        <v>0</v>
      </c>
      <c r="N651" s="5">
        <v>0</v>
      </c>
      <c r="O651" s="3">
        <f>N651/J651</f>
        <v>0</v>
      </c>
      <c r="P651" s="5">
        <v>0</v>
      </c>
      <c r="Q651" s="5">
        <v>0</v>
      </c>
      <c r="R651" s="5">
        <v>0</v>
      </c>
      <c r="S651" s="35">
        <v>4</v>
      </c>
      <c r="T651" s="35">
        <v>0</v>
      </c>
      <c r="U651" s="35">
        <v>2</v>
      </c>
      <c r="V651" s="35">
        <v>17</v>
      </c>
      <c r="W651" s="3">
        <f>V651/S651</f>
        <v>4.25</v>
      </c>
      <c r="X651" s="3">
        <f>V651/U651</f>
        <v>8.5</v>
      </c>
      <c r="Y651" s="3">
        <v>12</v>
      </c>
      <c r="Z651" s="35" t="s">
        <v>1266</v>
      </c>
      <c r="AA651" s="35">
        <v>0</v>
      </c>
      <c r="AB651" s="45">
        <v>0</v>
      </c>
      <c r="AC651" s="5">
        <v>0</v>
      </c>
    </row>
    <row r="652" spans="1:29" x14ac:dyDescent="0.35">
      <c r="A652" s="1" t="s">
        <v>709</v>
      </c>
      <c r="B652" s="1" t="s">
        <v>174</v>
      </c>
      <c r="C652">
        <f>D652+E652+F652+G652+H652+I652</f>
        <v>10</v>
      </c>
      <c r="D652" s="2">
        <v>0</v>
      </c>
      <c r="E652" s="2">
        <v>0</v>
      </c>
      <c r="F652" s="2">
        <v>5</v>
      </c>
      <c r="G652" s="2">
        <v>4</v>
      </c>
      <c r="H652" s="2">
        <v>1</v>
      </c>
      <c r="I652" s="2">
        <v>0</v>
      </c>
      <c r="J652" s="2">
        <v>9</v>
      </c>
      <c r="K652">
        <f>J652+L652</f>
        <v>9</v>
      </c>
      <c r="L652" s="2">
        <v>0</v>
      </c>
      <c r="M652" s="2">
        <v>1</v>
      </c>
      <c r="N652" s="2">
        <v>79</v>
      </c>
      <c r="O652" s="3">
        <f>N652/J652</f>
        <v>8.7777777777777786</v>
      </c>
      <c r="P652" s="2">
        <v>0</v>
      </c>
      <c r="Q652" s="2">
        <v>0</v>
      </c>
      <c r="R652" s="2">
        <v>26</v>
      </c>
      <c r="S652" s="2">
        <v>0</v>
      </c>
      <c r="T652" s="2">
        <v>0</v>
      </c>
      <c r="U652" s="2">
        <v>0</v>
      </c>
      <c r="V652" s="2">
        <v>8</v>
      </c>
      <c r="W652" s="3" t="e">
        <f>V652/S652</f>
        <v>#DIV/0!</v>
      </c>
      <c r="X652" s="3" t="e">
        <f>V652/U652</f>
        <v>#DIV/0!</v>
      </c>
      <c r="Y652" s="4" t="e">
        <f>S652*6/U652</f>
        <v>#DIV/0!</v>
      </c>
      <c r="Z652" s="2">
        <v>0</v>
      </c>
      <c r="AA652" s="2">
        <v>0</v>
      </c>
      <c r="AB652" s="2">
        <v>0</v>
      </c>
      <c r="AC652" s="2">
        <v>4</v>
      </c>
    </row>
    <row r="653" spans="1:29" x14ac:dyDescent="0.35">
      <c r="A653" s="1" t="s">
        <v>710</v>
      </c>
      <c r="B653" s="1" t="s">
        <v>144</v>
      </c>
      <c r="C653">
        <f>D653+E653+F653+G653+H653+I653</f>
        <v>24</v>
      </c>
      <c r="D653" s="2">
        <v>0</v>
      </c>
      <c r="E653" s="2">
        <v>2</v>
      </c>
      <c r="F653" s="2">
        <v>12</v>
      </c>
      <c r="G653" s="2">
        <v>9</v>
      </c>
      <c r="H653" s="2">
        <v>1</v>
      </c>
      <c r="I653" s="2">
        <v>0</v>
      </c>
      <c r="J653" s="2">
        <v>19</v>
      </c>
      <c r="K653">
        <f>J653+L653</f>
        <v>25</v>
      </c>
      <c r="L653" s="2">
        <v>6</v>
      </c>
      <c r="M653" s="2">
        <v>2</v>
      </c>
      <c r="N653" s="2">
        <v>317</v>
      </c>
      <c r="O653" s="3">
        <f>N653/J653</f>
        <v>16.684210526315791</v>
      </c>
      <c r="P653" s="2">
        <v>1</v>
      </c>
      <c r="Q653" s="2">
        <v>0</v>
      </c>
      <c r="R653" s="2">
        <v>76</v>
      </c>
      <c r="S653" s="2">
        <v>82</v>
      </c>
      <c r="T653" s="2">
        <v>13</v>
      </c>
      <c r="U653" s="2">
        <v>16</v>
      </c>
      <c r="V653" s="2">
        <v>318</v>
      </c>
      <c r="W653" s="3">
        <f>V653/S653</f>
        <v>3.8780487804878048</v>
      </c>
      <c r="X653" s="3">
        <f>V653/U653</f>
        <v>19.875</v>
      </c>
      <c r="Y653" s="4">
        <f>S653*6/U653</f>
        <v>30.75</v>
      </c>
      <c r="Z653" s="2">
        <v>4</v>
      </c>
      <c r="AA653" s="2">
        <v>0</v>
      </c>
      <c r="AB653" s="2">
        <v>0</v>
      </c>
      <c r="AC653" s="2">
        <v>17</v>
      </c>
    </row>
    <row r="654" spans="1:29" x14ac:dyDescent="0.35">
      <c r="A654" s="1" t="s">
        <v>710</v>
      </c>
      <c r="B654" s="1" t="s">
        <v>321</v>
      </c>
      <c r="C654">
        <f>D654+E654+F654+G654+H654+I654</f>
        <v>2</v>
      </c>
      <c r="D654" s="2">
        <v>0</v>
      </c>
      <c r="E654" s="2">
        <v>0</v>
      </c>
      <c r="F654" s="2">
        <v>0</v>
      </c>
      <c r="G654" s="2">
        <v>2</v>
      </c>
      <c r="H654" s="2">
        <v>0</v>
      </c>
      <c r="I654" s="2">
        <v>0</v>
      </c>
      <c r="J654" s="2">
        <v>1</v>
      </c>
      <c r="K654">
        <f>J654+L654</f>
        <v>1</v>
      </c>
      <c r="L654" s="2">
        <v>0</v>
      </c>
      <c r="M654" s="2">
        <v>1</v>
      </c>
      <c r="N654" s="2">
        <v>4</v>
      </c>
      <c r="O654" s="3">
        <f>N654/J654</f>
        <v>4</v>
      </c>
      <c r="P654" s="2">
        <v>0</v>
      </c>
      <c r="Q654" s="2">
        <v>0</v>
      </c>
      <c r="R654" s="2">
        <v>4</v>
      </c>
      <c r="S654" s="2">
        <v>0</v>
      </c>
      <c r="T654" s="2">
        <v>0</v>
      </c>
      <c r="U654" s="2">
        <v>0</v>
      </c>
      <c r="V654" s="2">
        <v>0</v>
      </c>
      <c r="W654" s="3" t="e">
        <f>V654/S654</f>
        <v>#DIV/0!</v>
      </c>
      <c r="X654" s="3" t="e">
        <f>V654/U654</f>
        <v>#DIV/0!</v>
      </c>
      <c r="Y654" s="4" t="e">
        <f>S654*6/U654</f>
        <v>#DIV/0!</v>
      </c>
      <c r="Z654" s="2">
        <v>0</v>
      </c>
      <c r="AA654" s="2">
        <v>0</v>
      </c>
      <c r="AB654" s="2">
        <v>0</v>
      </c>
      <c r="AC654" s="2">
        <v>1</v>
      </c>
    </row>
    <row r="655" spans="1:29" x14ac:dyDescent="0.35">
      <c r="A655" s="1" t="s">
        <v>710</v>
      </c>
      <c r="B655" s="1" t="s">
        <v>16</v>
      </c>
      <c r="C655">
        <f>D655+E655+F655+G655+H655+I655</f>
        <v>1</v>
      </c>
      <c r="D655" s="2">
        <v>0</v>
      </c>
      <c r="E655" s="2">
        <v>0</v>
      </c>
      <c r="F655" s="2">
        <v>0</v>
      </c>
      <c r="G655" s="2">
        <v>0</v>
      </c>
      <c r="H655" s="2">
        <v>1</v>
      </c>
      <c r="I655" s="2">
        <v>0</v>
      </c>
      <c r="J655" s="2">
        <v>1</v>
      </c>
      <c r="K655">
        <f>J655+L655</f>
        <v>1</v>
      </c>
      <c r="L655" s="2">
        <v>0</v>
      </c>
      <c r="M655" s="2">
        <v>0</v>
      </c>
      <c r="N655" s="2">
        <v>20</v>
      </c>
      <c r="O655" s="3">
        <f>N655/J655</f>
        <v>20</v>
      </c>
      <c r="P655" s="2">
        <v>0</v>
      </c>
      <c r="Q655" s="2">
        <v>0</v>
      </c>
      <c r="R655" s="2">
        <v>20</v>
      </c>
      <c r="S655" s="2">
        <v>9</v>
      </c>
      <c r="T655" s="2">
        <v>0</v>
      </c>
      <c r="U655" s="2">
        <v>1</v>
      </c>
      <c r="V655" s="2">
        <v>22</v>
      </c>
      <c r="W655" s="3">
        <f>V655/S655</f>
        <v>2.4444444444444446</v>
      </c>
      <c r="X655" s="3">
        <f>V655/U655</f>
        <v>22</v>
      </c>
      <c r="Y655" s="4">
        <f>S655*6/U655</f>
        <v>54</v>
      </c>
      <c r="Z655" s="2">
        <v>1</v>
      </c>
      <c r="AA655" s="2">
        <v>0</v>
      </c>
      <c r="AB655" s="2">
        <v>0</v>
      </c>
      <c r="AC655" s="2">
        <v>0</v>
      </c>
    </row>
    <row r="656" spans="1:29" x14ac:dyDescent="0.35">
      <c r="A656" s="1" t="s">
        <v>711</v>
      </c>
      <c r="B656" s="1" t="s">
        <v>130</v>
      </c>
      <c r="C656">
        <f>D656+E656+F656+G656+H656+I656</f>
        <v>1</v>
      </c>
      <c r="D656" s="2">
        <v>0</v>
      </c>
      <c r="E656" s="2">
        <v>0</v>
      </c>
      <c r="F656" s="2">
        <v>0</v>
      </c>
      <c r="G656" s="2">
        <v>1</v>
      </c>
      <c r="H656" s="2">
        <v>0</v>
      </c>
      <c r="I656" s="2">
        <v>0</v>
      </c>
      <c r="J656" s="2">
        <v>0</v>
      </c>
      <c r="K656">
        <f>J656+L656</f>
        <v>0</v>
      </c>
      <c r="L656" s="2">
        <v>0</v>
      </c>
      <c r="M656" s="2">
        <v>1</v>
      </c>
      <c r="N656" s="2">
        <v>0</v>
      </c>
      <c r="O656" s="3" t="e">
        <f>N656/J656</f>
        <v>#DIV/0!</v>
      </c>
      <c r="P656" s="2">
        <v>0</v>
      </c>
      <c r="Q656" s="2">
        <v>0</v>
      </c>
      <c r="R656" s="2">
        <v>0</v>
      </c>
      <c r="S656" s="2">
        <v>2</v>
      </c>
      <c r="T656" s="2">
        <v>0</v>
      </c>
      <c r="U656" s="2">
        <v>0</v>
      </c>
      <c r="V656" s="2">
        <v>21</v>
      </c>
      <c r="W656" s="3">
        <f>V656/S656</f>
        <v>10.5</v>
      </c>
      <c r="X656" s="3" t="e">
        <f>V656/U656</f>
        <v>#DIV/0!</v>
      </c>
      <c r="Y656" s="4" t="e">
        <f>S656*6/U656</f>
        <v>#DIV/0!</v>
      </c>
      <c r="Z656" s="2">
        <v>0</v>
      </c>
      <c r="AA656" s="2">
        <v>0</v>
      </c>
      <c r="AB656" s="2">
        <v>0</v>
      </c>
      <c r="AC656" s="2">
        <v>1</v>
      </c>
    </row>
    <row r="657" spans="1:29" x14ac:dyDescent="0.35">
      <c r="A657" s="1" t="s">
        <v>712</v>
      </c>
      <c r="B657" s="1" t="s">
        <v>85</v>
      </c>
      <c r="C657">
        <f>D657+E657+F657+G657+H657+I657</f>
        <v>2</v>
      </c>
      <c r="D657" s="2">
        <v>2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J657" s="2">
        <v>1</v>
      </c>
      <c r="K657">
        <f>J657+L657</f>
        <v>1</v>
      </c>
      <c r="L657" s="2">
        <v>0</v>
      </c>
      <c r="M657" s="2">
        <v>1</v>
      </c>
      <c r="N657" s="2">
        <v>9</v>
      </c>
      <c r="O657" s="3">
        <f>N657/J657</f>
        <v>9</v>
      </c>
      <c r="P657" s="2">
        <v>0</v>
      </c>
      <c r="Q657" s="2">
        <v>0</v>
      </c>
      <c r="R657" s="2">
        <v>9</v>
      </c>
      <c r="S657" s="2">
        <v>0</v>
      </c>
      <c r="T657" s="2">
        <v>0</v>
      </c>
      <c r="U657" s="2">
        <v>0</v>
      </c>
      <c r="V657" s="2">
        <v>0</v>
      </c>
      <c r="W657" s="3" t="e">
        <f>V657/S657</f>
        <v>#DIV/0!</v>
      </c>
      <c r="X657" s="3" t="e">
        <f>V657/U657</f>
        <v>#DIV/0!</v>
      </c>
      <c r="Y657" s="4" t="e">
        <f>S657*6/U657</f>
        <v>#DIV/0!</v>
      </c>
      <c r="Z657" s="2">
        <v>0</v>
      </c>
      <c r="AA657" s="2">
        <v>0</v>
      </c>
      <c r="AB657" s="2">
        <v>0</v>
      </c>
      <c r="AC657" s="2">
        <v>0</v>
      </c>
    </row>
    <row r="658" spans="1:29" x14ac:dyDescent="0.35">
      <c r="A658" s="35" t="s">
        <v>1352</v>
      </c>
      <c r="B658" s="35" t="s">
        <v>1353</v>
      </c>
      <c r="C658">
        <f>D658+E658+F658+G658+H658+I658</f>
        <v>8</v>
      </c>
      <c r="D658" s="5">
        <v>0</v>
      </c>
      <c r="E658" s="5">
        <v>0</v>
      </c>
      <c r="F658" s="5">
        <v>0</v>
      </c>
      <c r="G658" s="5">
        <v>0</v>
      </c>
      <c r="H658" s="5">
        <v>8</v>
      </c>
      <c r="I658" s="5">
        <v>0</v>
      </c>
      <c r="J658" s="5">
        <v>6</v>
      </c>
      <c r="K658">
        <f>J658+L658</f>
        <v>7</v>
      </c>
      <c r="L658" s="5">
        <v>1</v>
      </c>
      <c r="M658" s="5">
        <v>1</v>
      </c>
      <c r="N658" s="5">
        <v>146</v>
      </c>
      <c r="O658" s="3">
        <f>N658/J658</f>
        <v>24.333333333333332</v>
      </c>
      <c r="P658" s="5">
        <v>1</v>
      </c>
      <c r="Q658" s="5">
        <v>0</v>
      </c>
      <c r="R658" s="5">
        <v>59</v>
      </c>
      <c r="S658" s="35">
        <v>42</v>
      </c>
      <c r="T658" s="35">
        <v>6</v>
      </c>
      <c r="U658" s="35">
        <v>10</v>
      </c>
      <c r="V658" s="35">
        <v>165</v>
      </c>
      <c r="W658" s="3">
        <f>V658/S658</f>
        <v>3.9285714285714284</v>
      </c>
      <c r="X658" s="3">
        <f>V658/U658</f>
        <v>16.5</v>
      </c>
      <c r="Y658" s="3">
        <f>S658*6/U658</f>
        <v>25.2</v>
      </c>
      <c r="Z658" s="35" t="s">
        <v>1354</v>
      </c>
      <c r="AA658" s="35">
        <v>0</v>
      </c>
      <c r="AB658" s="35">
        <v>0</v>
      </c>
      <c r="AC658" s="5">
        <v>5</v>
      </c>
    </row>
    <row r="659" spans="1:29" x14ac:dyDescent="0.35">
      <c r="A659" s="1" t="s">
        <v>713</v>
      </c>
      <c r="B659" s="1" t="s">
        <v>176</v>
      </c>
      <c r="C659">
        <f>D659+E659+F659+G659+H659+I659</f>
        <v>148</v>
      </c>
      <c r="D659" s="2">
        <v>0</v>
      </c>
      <c r="E659" s="2">
        <v>67</v>
      </c>
      <c r="F659" s="2">
        <v>14</v>
      </c>
      <c r="G659" s="2">
        <v>25</v>
      </c>
      <c r="H659" s="2">
        <v>40</v>
      </c>
      <c r="I659" s="2">
        <v>2</v>
      </c>
      <c r="J659" s="2">
        <v>134</v>
      </c>
      <c r="K659">
        <f>J659+L659</f>
        <v>149</v>
      </c>
      <c r="L659" s="2">
        <v>15</v>
      </c>
      <c r="M659" s="2">
        <v>27</v>
      </c>
      <c r="N659" s="2">
        <v>2485</v>
      </c>
      <c r="O659" s="3">
        <f>N659/J659</f>
        <v>18.544776119402986</v>
      </c>
      <c r="P659" s="2">
        <v>7</v>
      </c>
      <c r="Q659" s="2">
        <v>0</v>
      </c>
      <c r="R659" s="2">
        <v>75</v>
      </c>
      <c r="S659" s="2">
        <v>820</v>
      </c>
      <c r="T659" s="2">
        <v>193</v>
      </c>
      <c r="U659" s="2">
        <v>134</v>
      </c>
      <c r="V659" s="2">
        <v>2462</v>
      </c>
      <c r="W659" s="3">
        <f>V659/S659</f>
        <v>3.0024390243902439</v>
      </c>
      <c r="X659" s="3">
        <f>V659/U659</f>
        <v>18.373134328358208</v>
      </c>
      <c r="Y659" s="4">
        <f>S659*6/U659</f>
        <v>36.71641791044776</v>
      </c>
      <c r="Z659" s="2">
        <v>5</v>
      </c>
      <c r="AA659" s="2">
        <v>1</v>
      </c>
      <c r="AB659" s="2">
        <v>0</v>
      </c>
      <c r="AC659" s="2">
        <v>45</v>
      </c>
    </row>
    <row r="660" spans="1:29" x14ac:dyDescent="0.35">
      <c r="A660" s="1" t="s">
        <v>714</v>
      </c>
      <c r="B660" s="1" t="s">
        <v>265</v>
      </c>
      <c r="C660">
        <f>D660+E660+F660+G660+H660+I660</f>
        <v>129</v>
      </c>
      <c r="D660" s="2">
        <v>0</v>
      </c>
      <c r="E660" s="2">
        <v>14</v>
      </c>
      <c r="F660" s="2">
        <v>15</v>
      </c>
      <c r="G660" s="2">
        <v>47</v>
      </c>
      <c r="H660" s="2">
        <v>49</v>
      </c>
      <c r="I660" s="2">
        <v>4</v>
      </c>
      <c r="J660" s="2">
        <v>133</v>
      </c>
      <c r="K660">
        <f>J660+L660</f>
        <v>169</v>
      </c>
      <c r="L660" s="2">
        <v>36</v>
      </c>
      <c r="M660" s="2">
        <v>25</v>
      </c>
      <c r="N660" s="2">
        <v>2901</v>
      </c>
      <c r="O660" s="3">
        <f>N660/J660</f>
        <v>21.81203007518797</v>
      </c>
      <c r="P660" s="2">
        <v>13</v>
      </c>
      <c r="Q660" s="2">
        <v>1</v>
      </c>
      <c r="R660" s="2">
        <v>102</v>
      </c>
      <c r="S660" s="2">
        <v>48</v>
      </c>
      <c r="T660" s="2">
        <v>1</v>
      </c>
      <c r="U660" s="2">
        <v>10</v>
      </c>
      <c r="V660" s="2">
        <v>261</v>
      </c>
      <c r="W660" s="3">
        <f>V660/S660</f>
        <v>5.4375</v>
      </c>
      <c r="X660" s="3">
        <f>V660/U660</f>
        <v>26.1</v>
      </c>
      <c r="Y660" s="4">
        <f>S660*6/U660</f>
        <v>28.8</v>
      </c>
      <c r="Z660" s="2">
        <v>3</v>
      </c>
      <c r="AA660" s="2">
        <v>0</v>
      </c>
      <c r="AB660" s="2">
        <v>0</v>
      </c>
      <c r="AC660" s="2">
        <v>131</v>
      </c>
    </row>
    <row r="661" spans="1:29" x14ac:dyDescent="0.35">
      <c r="A661" s="1" t="s">
        <v>715</v>
      </c>
      <c r="B661" s="1" t="s">
        <v>330</v>
      </c>
      <c r="C661">
        <f>D661+E661+F661+G661+H661+I661</f>
        <v>38</v>
      </c>
      <c r="D661" s="2">
        <v>25</v>
      </c>
      <c r="E661" s="2">
        <v>13</v>
      </c>
      <c r="F661" s="2">
        <v>0</v>
      </c>
      <c r="G661" s="2">
        <v>0</v>
      </c>
      <c r="H661" s="2">
        <v>0</v>
      </c>
      <c r="I661" s="2">
        <v>0</v>
      </c>
      <c r="J661" s="2">
        <v>35</v>
      </c>
      <c r="K661">
        <f>J661+L661</f>
        <v>41</v>
      </c>
      <c r="L661" s="2">
        <v>6</v>
      </c>
      <c r="M661" s="2">
        <v>0</v>
      </c>
      <c r="N661" s="2">
        <v>834</v>
      </c>
      <c r="O661" s="3">
        <f>N661/J661</f>
        <v>23.828571428571429</v>
      </c>
      <c r="P661" s="2">
        <v>3</v>
      </c>
      <c r="Q661" s="2">
        <v>0</v>
      </c>
      <c r="R661" s="2">
        <v>90</v>
      </c>
      <c r="S661" s="2">
        <v>0</v>
      </c>
      <c r="T661" s="2">
        <v>0</v>
      </c>
      <c r="U661" s="2">
        <v>0</v>
      </c>
      <c r="V661" s="2">
        <v>0</v>
      </c>
      <c r="W661" s="3" t="e">
        <f>V661/S661</f>
        <v>#DIV/0!</v>
      </c>
      <c r="X661" s="3" t="e">
        <f>V661/U661</f>
        <v>#DIV/0!</v>
      </c>
      <c r="Y661" s="4" t="e">
        <f>S661*6/U661</f>
        <v>#DIV/0!</v>
      </c>
      <c r="Z661" s="2">
        <v>0</v>
      </c>
      <c r="AA661" s="2">
        <v>0</v>
      </c>
      <c r="AB661" s="2">
        <v>0</v>
      </c>
      <c r="AC661" s="2">
        <v>25</v>
      </c>
    </row>
    <row r="662" spans="1:29" x14ac:dyDescent="0.35">
      <c r="A662" s="1" t="s">
        <v>715</v>
      </c>
      <c r="B662" s="1" t="s">
        <v>172</v>
      </c>
      <c r="C662">
        <f>D662+E662+F662+G662+H662+I662</f>
        <v>36</v>
      </c>
      <c r="D662" s="2">
        <v>2</v>
      </c>
      <c r="E662" s="2">
        <v>34</v>
      </c>
      <c r="F662" s="2">
        <v>0</v>
      </c>
      <c r="G662" s="2">
        <v>0</v>
      </c>
      <c r="H662" s="2">
        <v>0</v>
      </c>
      <c r="I662" s="2">
        <v>0</v>
      </c>
      <c r="J662" s="2">
        <v>18</v>
      </c>
      <c r="K662">
        <f>J662+L662</f>
        <v>24</v>
      </c>
      <c r="L662" s="2">
        <v>6</v>
      </c>
      <c r="M662" s="2">
        <v>12</v>
      </c>
      <c r="N662" s="2">
        <v>106</v>
      </c>
      <c r="O662" s="3">
        <f>N662/J662</f>
        <v>5.8888888888888893</v>
      </c>
      <c r="P662" s="2">
        <v>0</v>
      </c>
      <c r="Q662" s="2">
        <v>0</v>
      </c>
      <c r="R662" s="2">
        <v>15</v>
      </c>
      <c r="S662" s="2">
        <v>429</v>
      </c>
      <c r="T662" s="2">
        <v>101</v>
      </c>
      <c r="U662" s="2">
        <v>56</v>
      </c>
      <c r="V662" s="2">
        <v>1126</v>
      </c>
      <c r="W662" s="3">
        <f>V662/S662</f>
        <v>2.6247086247086249</v>
      </c>
      <c r="X662" s="3">
        <f>V662/U662</f>
        <v>20.107142857142858</v>
      </c>
      <c r="Y662" s="4">
        <f>S662*6/U662</f>
        <v>45.964285714285715</v>
      </c>
      <c r="Z662" s="2">
        <v>5</v>
      </c>
      <c r="AA662" s="2">
        <v>2</v>
      </c>
      <c r="AB662" s="2">
        <v>0</v>
      </c>
      <c r="AC662" s="2">
        <v>10</v>
      </c>
    </row>
    <row r="663" spans="1:29" x14ac:dyDescent="0.35">
      <c r="A663" s="35" t="s">
        <v>1289</v>
      </c>
      <c r="B663" s="35" t="s">
        <v>997</v>
      </c>
      <c r="C663">
        <f>D663+E663+F663+G663+H663+I663</f>
        <v>1</v>
      </c>
      <c r="D663" s="5">
        <v>0</v>
      </c>
      <c r="E663" s="5">
        <v>0</v>
      </c>
      <c r="F663" s="5">
        <v>0</v>
      </c>
      <c r="G663" s="5">
        <v>0</v>
      </c>
      <c r="H663" s="5">
        <v>0</v>
      </c>
      <c r="I663" s="5">
        <v>1</v>
      </c>
      <c r="J663" s="5">
        <v>1</v>
      </c>
      <c r="K663">
        <f>J663+L663</f>
        <v>1</v>
      </c>
      <c r="L663" s="5">
        <v>0</v>
      </c>
      <c r="M663" s="5">
        <v>0</v>
      </c>
      <c r="N663" s="5">
        <v>19</v>
      </c>
      <c r="O663" s="3">
        <f>N663/J663</f>
        <v>19</v>
      </c>
      <c r="P663" s="5">
        <v>0</v>
      </c>
      <c r="Q663" s="5">
        <v>0</v>
      </c>
      <c r="R663" s="5">
        <v>19</v>
      </c>
      <c r="S663" s="35">
        <v>2</v>
      </c>
      <c r="T663" s="35">
        <v>0</v>
      </c>
      <c r="U663" s="35">
        <v>1</v>
      </c>
      <c r="V663" s="35">
        <v>4</v>
      </c>
      <c r="W663" s="3">
        <f>V663/S663</f>
        <v>2</v>
      </c>
      <c r="X663" s="3">
        <f>V663/U663</f>
        <v>4</v>
      </c>
      <c r="Y663" s="3">
        <f>12</f>
        <v>12</v>
      </c>
      <c r="Z663" s="35" t="s">
        <v>1124</v>
      </c>
      <c r="AA663" s="45">
        <v>0</v>
      </c>
      <c r="AB663" s="45">
        <v>0</v>
      </c>
      <c r="AC663" s="45">
        <v>1</v>
      </c>
    </row>
    <row r="664" spans="1:29" x14ac:dyDescent="0.35">
      <c r="A664" s="1" t="s">
        <v>716</v>
      </c>
      <c r="B664" s="1" t="s">
        <v>717</v>
      </c>
      <c r="C664">
        <f>D664+E664+F664+G664+H664+I664</f>
        <v>27</v>
      </c>
      <c r="D664" s="2">
        <v>1</v>
      </c>
      <c r="E664" s="2">
        <v>6</v>
      </c>
      <c r="F664" s="2">
        <v>9</v>
      </c>
      <c r="G664" s="2">
        <v>11</v>
      </c>
      <c r="H664" s="2">
        <v>0</v>
      </c>
      <c r="I664" s="2">
        <v>0</v>
      </c>
      <c r="J664" s="2">
        <v>23</v>
      </c>
      <c r="K664">
        <f>J664+L664</f>
        <v>23</v>
      </c>
      <c r="L664" s="2">
        <v>0</v>
      </c>
      <c r="M664" s="2">
        <v>4</v>
      </c>
      <c r="N664" s="2">
        <v>385</v>
      </c>
      <c r="O664" s="3">
        <f>N664/J664</f>
        <v>16.739130434782609</v>
      </c>
      <c r="P664" s="2">
        <v>1</v>
      </c>
      <c r="Q664" s="2">
        <v>0</v>
      </c>
      <c r="R664" s="2">
        <v>74</v>
      </c>
      <c r="S664" s="2">
        <v>102</v>
      </c>
      <c r="T664" s="2">
        <v>5</v>
      </c>
      <c r="U664" s="2">
        <v>22</v>
      </c>
      <c r="V664" s="2">
        <v>465</v>
      </c>
      <c r="W664" s="3">
        <f>V664/S664</f>
        <v>4.5588235294117645</v>
      </c>
      <c r="X664" s="3">
        <f>V664/U664</f>
        <v>21.136363636363637</v>
      </c>
      <c r="Y664" s="4">
        <f>S664*6/U664</f>
        <v>27.818181818181817</v>
      </c>
      <c r="Z664" s="2" t="s">
        <v>1139</v>
      </c>
      <c r="AA664" s="2">
        <v>0</v>
      </c>
      <c r="AB664" s="2">
        <v>0</v>
      </c>
      <c r="AC664" s="2">
        <v>15</v>
      </c>
    </row>
    <row r="665" spans="1:29" x14ac:dyDescent="0.35">
      <c r="A665" s="15" t="s">
        <v>718</v>
      </c>
      <c r="B665" s="15" t="s">
        <v>420</v>
      </c>
      <c r="C665" s="18">
        <f>D665+E665+F665+G665+H665+I665</f>
        <v>51</v>
      </c>
      <c r="D665" s="16">
        <v>0</v>
      </c>
      <c r="E665" s="16">
        <v>4</v>
      </c>
      <c r="F665" s="16">
        <f>9+7</f>
        <v>16</v>
      </c>
      <c r="G665" s="16">
        <v>9</v>
      </c>
      <c r="H665" s="16">
        <v>22</v>
      </c>
      <c r="I665" s="16">
        <v>0</v>
      </c>
      <c r="J665" s="16">
        <f>35+7</f>
        <v>42</v>
      </c>
      <c r="K665" s="18">
        <f>J665+L665</f>
        <v>53</v>
      </c>
      <c r="L665" s="16">
        <v>11</v>
      </c>
      <c r="M665" s="16">
        <v>1</v>
      </c>
      <c r="N665" s="16">
        <f>995+423</f>
        <v>1418</v>
      </c>
      <c r="O665" s="19">
        <f>N665/J665</f>
        <v>33.761904761904759</v>
      </c>
      <c r="P665" s="16">
        <v>10</v>
      </c>
      <c r="Q665" s="16">
        <v>2</v>
      </c>
      <c r="R665" s="16">
        <v>123</v>
      </c>
      <c r="S665" s="16">
        <f>9.5+8</f>
        <v>17.5</v>
      </c>
      <c r="T665" s="16">
        <v>0</v>
      </c>
      <c r="U665" s="16">
        <v>3</v>
      </c>
      <c r="V665" s="16">
        <f>56+29</f>
        <v>85</v>
      </c>
      <c r="W665" s="19">
        <f>V665/S665</f>
        <v>4.8571428571428568</v>
      </c>
      <c r="X665" s="19">
        <f>V665/U665</f>
        <v>28.333333333333332</v>
      </c>
      <c r="Y665" s="20">
        <f>S665*6/U665</f>
        <v>35</v>
      </c>
      <c r="Z665" s="16" t="s">
        <v>1408</v>
      </c>
      <c r="AA665" s="16">
        <v>0</v>
      </c>
      <c r="AB665" s="16">
        <v>0</v>
      </c>
      <c r="AC665" s="16">
        <v>14</v>
      </c>
    </row>
    <row r="666" spans="1:29" x14ac:dyDescent="0.35">
      <c r="A666" s="1" t="s">
        <v>719</v>
      </c>
      <c r="B666" s="1" t="s">
        <v>720</v>
      </c>
      <c r="C666">
        <f>D666+E666+F666+G666+H666+I666</f>
        <v>16</v>
      </c>
      <c r="D666" s="2">
        <v>14</v>
      </c>
      <c r="E666" s="2">
        <v>1</v>
      </c>
      <c r="F666" s="2">
        <v>1</v>
      </c>
      <c r="G666" s="2">
        <v>0</v>
      </c>
      <c r="H666" s="2">
        <v>0</v>
      </c>
      <c r="I666" s="2">
        <v>0</v>
      </c>
      <c r="J666" s="2">
        <v>12</v>
      </c>
      <c r="K666">
        <f>J666+L666</f>
        <v>13</v>
      </c>
      <c r="L666" s="2">
        <v>1</v>
      </c>
      <c r="M666" s="2">
        <v>5</v>
      </c>
      <c r="N666" s="2">
        <v>30</v>
      </c>
      <c r="O666" s="3">
        <f>N666/J666</f>
        <v>2.5</v>
      </c>
      <c r="P666" s="2">
        <v>0</v>
      </c>
      <c r="Q666" s="2">
        <v>0</v>
      </c>
      <c r="R666" s="2">
        <v>9</v>
      </c>
      <c r="S666" s="2">
        <v>148</v>
      </c>
      <c r="T666" s="2">
        <v>26</v>
      </c>
      <c r="U666" s="2">
        <v>18</v>
      </c>
      <c r="V666" s="2">
        <v>456</v>
      </c>
      <c r="W666" s="3">
        <f>V666/S666</f>
        <v>3.0810810810810811</v>
      </c>
      <c r="X666" s="3">
        <f>V666/U666</f>
        <v>25.333333333333332</v>
      </c>
      <c r="Y666" s="4">
        <f>S666*6/U666</f>
        <v>49.333333333333336</v>
      </c>
      <c r="Z666" s="2">
        <v>4</v>
      </c>
      <c r="AA666" s="2">
        <v>0</v>
      </c>
      <c r="AB666" s="2">
        <v>0</v>
      </c>
      <c r="AC666" s="2">
        <v>2</v>
      </c>
    </row>
    <row r="667" spans="1:29" x14ac:dyDescent="0.35">
      <c r="A667" s="1" t="s">
        <v>721</v>
      </c>
      <c r="B667" s="1" t="s">
        <v>28</v>
      </c>
      <c r="C667">
        <f>D667+E667+F667+G667+H667+I667</f>
        <v>5</v>
      </c>
      <c r="D667" s="2">
        <v>0</v>
      </c>
      <c r="E667" s="2">
        <v>0</v>
      </c>
      <c r="F667" s="2">
        <v>0</v>
      </c>
      <c r="G667" s="2">
        <v>3</v>
      </c>
      <c r="H667" s="2">
        <v>0</v>
      </c>
      <c r="I667" s="2">
        <v>2</v>
      </c>
      <c r="J667" s="2">
        <v>4</v>
      </c>
      <c r="K667">
        <f>J667+L667</f>
        <v>4</v>
      </c>
      <c r="L667" s="2">
        <v>0</v>
      </c>
      <c r="M667" s="2">
        <v>0</v>
      </c>
      <c r="N667" s="2">
        <v>94</v>
      </c>
      <c r="O667" s="3">
        <f>N667/J667</f>
        <v>23.5</v>
      </c>
      <c r="P667" s="2">
        <v>0</v>
      </c>
      <c r="Q667" s="2">
        <v>0</v>
      </c>
      <c r="R667" s="2">
        <v>28</v>
      </c>
      <c r="S667" s="2">
        <v>0</v>
      </c>
      <c r="T667" s="2">
        <v>0</v>
      </c>
      <c r="U667" s="2">
        <v>0</v>
      </c>
      <c r="V667" s="2">
        <v>0</v>
      </c>
      <c r="W667" s="3" t="e">
        <f>V667/S667</f>
        <v>#DIV/0!</v>
      </c>
      <c r="X667" s="3" t="e">
        <f>V667/U667</f>
        <v>#DIV/0!</v>
      </c>
      <c r="Y667" s="4" t="e">
        <f>S667*6/U667</f>
        <v>#DIV/0!</v>
      </c>
      <c r="Z667" s="2">
        <v>0</v>
      </c>
      <c r="AA667" s="2">
        <v>0</v>
      </c>
      <c r="AB667" s="2">
        <v>0</v>
      </c>
      <c r="AC667" s="2">
        <v>4</v>
      </c>
    </row>
    <row r="668" spans="1:29" x14ac:dyDescent="0.35">
      <c r="A668" s="1" t="s">
        <v>722</v>
      </c>
      <c r="B668" s="1" t="s">
        <v>242</v>
      </c>
      <c r="C668">
        <f>D668+E668+F668+G668+H668+I668</f>
        <v>29</v>
      </c>
      <c r="D668" s="2">
        <v>19</v>
      </c>
      <c r="E668" s="2">
        <v>9</v>
      </c>
      <c r="F668" s="2">
        <v>1</v>
      </c>
      <c r="G668" s="2">
        <v>0</v>
      </c>
      <c r="H668" s="2">
        <v>0</v>
      </c>
      <c r="I668" s="2">
        <v>0</v>
      </c>
      <c r="J668" s="2">
        <v>12</v>
      </c>
      <c r="K668">
        <f>J668+L668</f>
        <v>23</v>
      </c>
      <c r="L668" s="2">
        <v>11</v>
      </c>
      <c r="M668" s="2">
        <v>7</v>
      </c>
      <c r="N668" s="2">
        <v>150</v>
      </c>
      <c r="O668" s="3">
        <f>N668/J668</f>
        <v>12.5</v>
      </c>
      <c r="P668" s="2">
        <v>0</v>
      </c>
      <c r="Q668" s="2">
        <v>0</v>
      </c>
      <c r="R668" s="2">
        <v>47</v>
      </c>
      <c r="S668" s="2">
        <v>335</v>
      </c>
      <c r="T668" s="2">
        <v>98</v>
      </c>
      <c r="U668" s="2">
        <v>57</v>
      </c>
      <c r="V668" s="2">
        <v>675</v>
      </c>
      <c r="W668" s="3">
        <f>V668/S668</f>
        <v>2.0149253731343282</v>
      </c>
      <c r="X668" s="3">
        <f>V668/U668</f>
        <v>11.842105263157896</v>
      </c>
      <c r="Y668" s="4">
        <f>S668*6/U668</f>
        <v>35.263157894736842</v>
      </c>
      <c r="Z668" s="2">
        <v>6</v>
      </c>
      <c r="AA668" s="2">
        <v>1</v>
      </c>
      <c r="AB668" s="2">
        <v>0</v>
      </c>
      <c r="AC668" s="2">
        <v>6</v>
      </c>
    </row>
    <row r="669" spans="1:29" x14ac:dyDescent="0.35">
      <c r="A669" s="1" t="s">
        <v>722</v>
      </c>
      <c r="B669" s="1" t="s">
        <v>321</v>
      </c>
      <c r="C669">
        <f>D669+E669+F669+G669+H669+I669</f>
        <v>1</v>
      </c>
      <c r="D669" s="2">
        <v>0</v>
      </c>
      <c r="E669" s="2">
        <v>0</v>
      </c>
      <c r="F669" s="2">
        <v>0</v>
      </c>
      <c r="G669" s="2">
        <v>1</v>
      </c>
      <c r="H669" s="2">
        <v>0</v>
      </c>
      <c r="I669" s="2">
        <v>0</v>
      </c>
      <c r="J669" s="2">
        <v>0</v>
      </c>
      <c r="K669">
        <f>J669+L669</f>
        <v>1</v>
      </c>
      <c r="L669" s="2">
        <v>1</v>
      </c>
      <c r="M669" s="2">
        <v>0</v>
      </c>
      <c r="N669" s="2">
        <v>15</v>
      </c>
      <c r="O669" s="3" t="e">
        <f>N669/J669</f>
        <v>#DIV/0!</v>
      </c>
      <c r="P669" s="2">
        <v>0</v>
      </c>
      <c r="Q669" s="2">
        <v>0</v>
      </c>
      <c r="R669" s="2">
        <v>15</v>
      </c>
      <c r="S669" s="2">
        <v>20</v>
      </c>
      <c r="T669" s="2">
        <v>7</v>
      </c>
      <c r="U669" s="2">
        <v>3</v>
      </c>
      <c r="V669" s="2">
        <v>27</v>
      </c>
      <c r="W669" s="3">
        <f>V669/S669</f>
        <v>1.35</v>
      </c>
      <c r="X669" s="3">
        <f>V669/U669</f>
        <v>9</v>
      </c>
      <c r="Y669" s="4">
        <f>S669*6/U669</f>
        <v>40</v>
      </c>
      <c r="Z669" s="2">
        <v>3</v>
      </c>
      <c r="AA669" s="2">
        <v>0</v>
      </c>
      <c r="AB669" s="2">
        <v>0</v>
      </c>
      <c r="AC669" s="2">
        <v>0</v>
      </c>
    </row>
    <row r="670" spans="1:29" x14ac:dyDescent="0.35">
      <c r="A670" s="1" t="s">
        <v>722</v>
      </c>
      <c r="B670" s="1" t="s">
        <v>106</v>
      </c>
      <c r="C670">
        <f>D670+E670+F670+G670+H670+I670</f>
        <v>1</v>
      </c>
      <c r="D670" s="2">
        <v>0</v>
      </c>
      <c r="E670" s="2">
        <v>0</v>
      </c>
      <c r="F670" s="2">
        <v>0</v>
      </c>
      <c r="G670" s="2">
        <v>1</v>
      </c>
      <c r="H670" s="2">
        <v>0</v>
      </c>
      <c r="I670" s="2">
        <v>0</v>
      </c>
      <c r="J670" s="2">
        <v>0</v>
      </c>
      <c r="K670">
        <f>J670+L670</f>
        <v>0</v>
      </c>
      <c r="L670" s="2">
        <v>0</v>
      </c>
      <c r="M670" s="2">
        <v>1</v>
      </c>
      <c r="N670" s="2">
        <v>0</v>
      </c>
      <c r="O670" s="3" t="e">
        <f>N670/J670</f>
        <v>#DIV/0!</v>
      </c>
      <c r="P670" s="2">
        <v>0</v>
      </c>
      <c r="Q670" s="2">
        <v>0</v>
      </c>
      <c r="R670" s="2">
        <v>0</v>
      </c>
      <c r="S670" s="2">
        <v>13</v>
      </c>
      <c r="T670" s="2">
        <v>2</v>
      </c>
      <c r="U670" s="2">
        <v>1</v>
      </c>
      <c r="V670" s="2">
        <v>32</v>
      </c>
      <c r="W670" s="3">
        <f>V670/S670</f>
        <v>2.4615384615384617</v>
      </c>
      <c r="X670" s="3">
        <f>V670/U670</f>
        <v>32</v>
      </c>
      <c r="Y670" s="4">
        <f>S670*6/U670</f>
        <v>78</v>
      </c>
      <c r="Z670" s="2">
        <v>1</v>
      </c>
      <c r="AA670" s="2">
        <v>0</v>
      </c>
      <c r="AB670" s="2">
        <v>0</v>
      </c>
      <c r="AC670" s="2">
        <v>0</v>
      </c>
    </row>
    <row r="671" spans="1:29" x14ac:dyDescent="0.35">
      <c r="A671" s="1" t="s">
        <v>723</v>
      </c>
      <c r="B671" s="1" t="s">
        <v>16</v>
      </c>
      <c r="C671">
        <f>D671+E671+F671+G671+H671+I671</f>
        <v>108</v>
      </c>
      <c r="D671" s="2">
        <v>0</v>
      </c>
      <c r="E671" s="2">
        <v>26</v>
      </c>
      <c r="F671" s="2">
        <v>15</v>
      </c>
      <c r="G671" s="2">
        <v>7</v>
      </c>
      <c r="H671" s="2">
        <v>46</v>
      </c>
      <c r="I671" s="2">
        <v>14</v>
      </c>
      <c r="J671" s="2">
        <v>59</v>
      </c>
      <c r="K671">
        <f>J671+L671</f>
        <v>116</v>
      </c>
      <c r="L671" s="2">
        <v>57</v>
      </c>
      <c r="M671" s="2">
        <v>46</v>
      </c>
      <c r="N671" s="2">
        <v>1033</v>
      </c>
      <c r="O671" s="3">
        <f>N671/J671</f>
        <v>17.508474576271187</v>
      </c>
      <c r="P671" s="2">
        <v>4</v>
      </c>
      <c r="Q671" s="2">
        <v>0</v>
      </c>
      <c r="R671" s="2">
        <v>89</v>
      </c>
      <c r="S671" s="2">
        <v>1032</v>
      </c>
      <c r="T671" s="2">
        <v>152</v>
      </c>
      <c r="U671" s="2">
        <v>182</v>
      </c>
      <c r="V671" s="2">
        <v>3969</v>
      </c>
      <c r="W671" s="3">
        <f>V671/S671</f>
        <v>3.8459302325581395</v>
      </c>
      <c r="X671" s="3">
        <f>V671/U671</f>
        <v>21.807692307692307</v>
      </c>
      <c r="Y671" s="4">
        <f>S671*6/U671</f>
        <v>34.021978021978022</v>
      </c>
      <c r="Z671" s="2">
        <v>6</v>
      </c>
      <c r="AA671" s="2">
        <v>4</v>
      </c>
      <c r="AB671" s="2">
        <v>0</v>
      </c>
      <c r="AC671" s="2">
        <v>28</v>
      </c>
    </row>
    <row r="672" spans="1:29" x14ac:dyDescent="0.35">
      <c r="A672" s="1" t="s">
        <v>723</v>
      </c>
      <c r="B672" s="1" t="s">
        <v>240</v>
      </c>
      <c r="C672">
        <f>D672+E672+F672+G672+H672+I672</f>
        <v>27</v>
      </c>
      <c r="D672" s="2">
        <v>0</v>
      </c>
      <c r="E672" s="2">
        <v>0</v>
      </c>
      <c r="F672" s="2">
        <v>1</v>
      </c>
      <c r="G672" s="2">
        <v>10</v>
      </c>
      <c r="H672" s="2">
        <v>10</v>
      </c>
      <c r="I672" s="2">
        <v>6</v>
      </c>
      <c r="J672" s="2">
        <v>8</v>
      </c>
      <c r="K672">
        <f>J672+L672</f>
        <v>10</v>
      </c>
      <c r="L672" s="2">
        <v>2</v>
      </c>
      <c r="M672" s="2">
        <v>17</v>
      </c>
      <c r="N672" s="2">
        <v>28</v>
      </c>
      <c r="O672" s="3">
        <f>N672/J672</f>
        <v>3.5</v>
      </c>
      <c r="P672" s="2">
        <v>0</v>
      </c>
      <c r="Q672" s="2">
        <v>0</v>
      </c>
      <c r="R672" s="2">
        <v>9</v>
      </c>
      <c r="S672" s="2">
        <v>153</v>
      </c>
      <c r="T672" s="2">
        <v>40</v>
      </c>
      <c r="U672" s="2">
        <v>26</v>
      </c>
      <c r="V672" s="2">
        <v>328</v>
      </c>
      <c r="W672" s="3">
        <f>V672/S672</f>
        <v>2.1437908496732025</v>
      </c>
      <c r="X672" s="3">
        <f>V672/U672</f>
        <v>12.615384615384615</v>
      </c>
      <c r="Y672" s="4">
        <f>S672*6/U672</f>
        <v>35.307692307692307</v>
      </c>
      <c r="Z672" s="2">
        <v>5</v>
      </c>
      <c r="AA672" s="2">
        <v>0</v>
      </c>
      <c r="AB672" s="2">
        <v>0</v>
      </c>
      <c r="AC672" s="2">
        <v>8</v>
      </c>
    </row>
    <row r="673" spans="1:29" x14ac:dyDescent="0.35">
      <c r="A673" s="1" t="s">
        <v>724</v>
      </c>
      <c r="B673" s="1" t="s">
        <v>85</v>
      </c>
      <c r="C673">
        <f>D673+E673+F673+G673+H673+I673</f>
        <v>27</v>
      </c>
      <c r="D673" s="2">
        <v>0</v>
      </c>
      <c r="E673" s="2">
        <v>3</v>
      </c>
      <c r="F673" s="2">
        <v>10</v>
      </c>
      <c r="G673" s="2">
        <v>11</v>
      </c>
      <c r="H673" s="2">
        <v>1</v>
      </c>
      <c r="I673" s="2">
        <v>2</v>
      </c>
      <c r="J673" s="2">
        <v>34</v>
      </c>
      <c r="K673">
        <f>J673+L673</f>
        <v>38</v>
      </c>
      <c r="L673" s="2">
        <v>4</v>
      </c>
      <c r="M673" s="2">
        <v>3</v>
      </c>
      <c r="N673" s="2">
        <v>768</v>
      </c>
      <c r="O673" s="3">
        <f>N673/J673</f>
        <v>22.588235294117649</v>
      </c>
      <c r="P673" s="2">
        <v>2</v>
      </c>
      <c r="Q673" s="2">
        <v>1</v>
      </c>
      <c r="R673" s="2">
        <v>112</v>
      </c>
      <c r="S673" s="2">
        <v>86</v>
      </c>
      <c r="T673" s="2">
        <v>11</v>
      </c>
      <c r="U673" s="2">
        <v>17</v>
      </c>
      <c r="V673" s="2">
        <v>252</v>
      </c>
      <c r="W673" s="3">
        <f>V673/S673</f>
        <v>2.9302325581395348</v>
      </c>
      <c r="X673" s="3">
        <f>V673/U673</f>
        <v>14.823529411764707</v>
      </c>
      <c r="Y673" s="4">
        <f>S673*6/U673</f>
        <v>30.352941176470587</v>
      </c>
      <c r="Z673" s="2">
        <v>6</v>
      </c>
      <c r="AA673" s="2">
        <v>1</v>
      </c>
      <c r="AB673" s="2">
        <v>0</v>
      </c>
      <c r="AC673" s="2">
        <v>15</v>
      </c>
    </row>
    <row r="674" spans="1:29" x14ac:dyDescent="0.35">
      <c r="A674" s="1" t="s">
        <v>725</v>
      </c>
      <c r="B674" s="1" t="s">
        <v>325</v>
      </c>
      <c r="C674">
        <f>D674+E674+F674+G674+H674+I674</f>
        <v>3</v>
      </c>
      <c r="D674" s="2">
        <v>0</v>
      </c>
      <c r="E674" s="2">
        <v>0</v>
      </c>
      <c r="F674" s="2">
        <v>0</v>
      </c>
      <c r="G674" s="2">
        <v>0</v>
      </c>
      <c r="H674" s="2">
        <v>2</v>
      </c>
      <c r="I674" s="2">
        <v>1</v>
      </c>
      <c r="J674" s="2">
        <v>1</v>
      </c>
      <c r="K674">
        <f>J674+L674</f>
        <v>1</v>
      </c>
      <c r="L674" s="2">
        <v>0</v>
      </c>
      <c r="M674" s="2">
        <v>2</v>
      </c>
      <c r="N674" s="2">
        <v>2</v>
      </c>
      <c r="O674" s="3">
        <f>N674/J674</f>
        <v>2</v>
      </c>
      <c r="P674" s="2">
        <v>0</v>
      </c>
      <c r="Q674" s="2">
        <v>0</v>
      </c>
      <c r="R674" s="2">
        <v>2</v>
      </c>
      <c r="S674" s="2">
        <v>5</v>
      </c>
      <c r="T674" s="2">
        <v>0</v>
      </c>
      <c r="U674" s="2">
        <v>1</v>
      </c>
      <c r="V674" s="2">
        <v>13</v>
      </c>
      <c r="W674" s="3">
        <f>V674/S674</f>
        <v>2.6</v>
      </c>
      <c r="X674" s="3">
        <f>V674/U674</f>
        <v>13</v>
      </c>
      <c r="Y674" s="4">
        <f>S674*6/U674</f>
        <v>30</v>
      </c>
      <c r="Z674" s="2">
        <v>1</v>
      </c>
      <c r="AA674" s="2">
        <v>0</v>
      </c>
      <c r="AB674" s="2">
        <v>0</v>
      </c>
      <c r="AC674" s="2">
        <v>1</v>
      </c>
    </row>
    <row r="675" spans="1:29" x14ac:dyDescent="0.35">
      <c r="A675" s="1" t="s">
        <v>726</v>
      </c>
      <c r="B675" s="1" t="s">
        <v>727</v>
      </c>
      <c r="C675">
        <f>D675+E675+F675+G675+H675+I675</f>
        <v>3</v>
      </c>
      <c r="D675" s="2">
        <v>0</v>
      </c>
      <c r="E675" s="2">
        <v>3</v>
      </c>
      <c r="F675" s="2">
        <v>0</v>
      </c>
      <c r="G675" s="2">
        <v>0</v>
      </c>
      <c r="H675" s="2">
        <v>0</v>
      </c>
      <c r="I675" s="2">
        <v>0</v>
      </c>
      <c r="J675" s="2">
        <v>3</v>
      </c>
      <c r="K675">
        <f>J675+L675</f>
        <v>3</v>
      </c>
      <c r="L675" s="2">
        <v>0</v>
      </c>
      <c r="M675" s="2">
        <v>0</v>
      </c>
      <c r="N675" s="2">
        <v>23</v>
      </c>
      <c r="O675" s="3">
        <f>N675/J675</f>
        <v>7.666666666666667</v>
      </c>
      <c r="P675" s="2">
        <v>0</v>
      </c>
      <c r="Q675" s="2">
        <v>0</v>
      </c>
      <c r="R675" s="2">
        <v>10</v>
      </c>
      <c r="S675" s="2">
        <v>0</v>
      </c>
      <c r="T675" s="2">
        <v>0</v>
      </c>
      <c r="U675" s="2">
        <v>0</v>
      </c>
      <c r="V675" s="2">
        <v>0</v>
      </c>
      <c r="W675" s="3" t="e">
        <f>V675/S675</f>
        <v>#DIV/0!</v>
      </c>
      <c r="X675" s="3" t="e">
        <f>V675/U675</f>
        <v>#DIV/0!</v>
      </c>
      <c r="Y675" s="4" t="e">
        <f>S675*6/U675</f>
        <v>#DIV/0!</v>
      </c>
      <c r="Z675" s="2">
        <v>0</v>
      </c>
      <c r="AA675" s="2">
        <v>0</v>
      </c>
      <c r="AB675" s="2">
        <v>0</v>
      </c>
      <c r="AC675" s="2">
        <v>1</v>
      </c>
    </row>
    <row r="676" spans="1:29" x14ac:dyDescent="0.35">
      <c r="A676" s="1" t="s">
        <v>728</v>
      </c>
      <c r="B676" s="1" t="s">
        <v>321</v>
      </c>
      <c r="C676">
        <f>D676+E676+F676+G676+H676+I676</f>
        <v>1</v>
      </c>
      <c r="D676" s="2">
        <v>0</v>
      </c>
      <c r="E676" s="2">
        <v>0</v>
      </c>
      <c r="F676" s="2">
        <v>0</v>
      </c>
      <c r="G676" s="2">
        <v>0</v>
      </c>
      <c r="H676" s="2">
        <v>0</v>
      </c>
      <c r="I676" s="2">
        <v>1</v>
      </c>
      <c r="J676" s="2">
        <v>0</v>
      </c>
      <c r="K676">
        <f>J676+L676</f>
        <v>0</v>
      </c>
      <c r="L676" s="2">
        <v>0</v>
      </c>
      <c r="M676" s="2">
        <v>1</v>
      </c>
      <c r="N676" s="2">
        <v>0</v>
      </c>
      <c r="O676" s="3" t="e">
        <f>N676/J676</f>
        <v>#DIV/0!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>
        <v>0</v>
      </c>
      <c r="V676" s="2">
        <v>0</v>
      </c>
      <c r="W676" s="3" t="e">
        <f>V676/S676</f>
        <v>#DIV/0!</v>
      </c>
      <c r="X676" s="3" t="e">
        <f>V676/U676</f>
        <v>#DIV/0!</v>
      </c>
      <c r="Y676" s="4" t="e">
        <f>S676*6/U676</f>
        <v>#DIV/0!</v>
      </c>
      <c r="Z676" s="2">
        <v>0</v>
      </c>
      <c r="AA676" s="2">
        <v>0</v>
      </c>
      <c r="AB676" s="2">
        <v>0</v>
      </c>
      <c r="AC676" s="2">
        <v>0</v>
      </c>
    </row>
    <row r="677" spans="1:29" x14ac:dyDescent="0.35">
      <c r="A677" s="1" t="s">
        <v>729</v>
      </c>
      <c r="B677" s="1" t="s">
        <v>31</v>
      </c>
      <c r="C677">
        <f>D677+E677+F677+G677+H677+I677</f>
        <v>1</v>
      </c>
      <c r="D677" s="2">
        <v>0</v>
      </c>
      <c r="E677" s="2">
        <v>0</v>
      </c>
      <c r="F677" s="2">
        <v>0</v>
      </c>
      <c r="G677" s="2">
        <v>0</v>
      </c>
      <c r="H677" s="2">
        <v>0</v>
      </c>
      <c r="I677" s="2">
        <v>1</v>
      </c>
      <c r="J677" s="2">
        <v>0</v>
      </c>
      <c r="K677">
        <f>J677+L677</f>
        <v>1</v>
      </c>
      <c r="L677" s="2">
        <v>1</v>
      </c>
      <c r="M677" s="2">
        <v>0</v>
      </c>
      <c r="N677" s="2">
        <v>4</v>
      </c>
      <c r="O677" s="3" t="e">
        <f>N677/J677</f>
        <v>#DIV/0!</v>
      </c>
      <c r="P677" s="2">
        <v>0</v>
      </c>
      <c r="Q677" s="2">
        <v>0</v>
      </c>
      <c r="R677" s="2">
        <v>4</v>
      </c>
      <c r="S677" s="2">
        <v>6</v>
      </c>
      <c r="T677" s="2">
        <v>2</v>
      </c>
      <c r="U677" s="2">
        <v>0</v>
      </c>
      <c r="V677" s="2">
        <v>39</v>
      </c>
      <c r="W677" s="3">
        <f>V677/S677</f>
        <v>6.5</v>
      </c>
      <c r="X677" s="3" t="e">
        <f>V677/U677</f>
        <v>#DIV/0!</v>
      </c>
      <c r="Y677" s="4" t="e">
        <f>S677*6/U677</f>
        <v>#DIV/0!</v>
      </c>
      <c r="Z677" s="2">
        <v>0</v>
      </c>
      <c r="AA677" s="2">
        <v>0</v>
      </c>
      <c r="AB677" s="2">
        <v>0</v>
      </c>
      <c r="AC677" s="2">
        <v>0</v>
      </c>
    </row>
    <row r="678" spans="1:29" x14ac:dyDescent="0.35">
      <c r="A678" s="1" t="s">
        <v>730</v>
      </c>
      <c r="B678" s="1" t="s">
        <v>485</v>
      </c>
      <c r="C678">
        <f>D678+E678+F678+G678+H678+I678</f>
        <v>1</v>
      </c>
      <c r="D678" s="2">
        <v>0</v>
      </c>
      <c r="E678" s="2">
        <v>1</v>
      </c>
      <c r="F678" s="2">
        <v>0</v>
      </c>
      <c r="G678" s="2">
        <v>0</v>
      </c>
      <c r="H678" s="2">
        <v>0</v>
      </c>
      <c r="I678" s="2">
        <v>0</v>
      </c>
      <c r="J678" s="2">
        <v>1</v>
      </c>
      <c r="K678">
        <f>J678+L678</f>
        <v>1</v>
      </c>
      <c r="L678" s="2">
        <v>0</v>
      </c>
      <c r="M678" s="2">
        <v>0</v>
      </c>
      <c r="N678" s="2">
        <v>0</v>
      </c>
      <c r="O678" s="3">
        <f>N678/J678</f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>
        <v>0</v>
      </c>
      <c r="V678" s="2">
        <v>0</v>
      </c>
      <c r="W678" s="3" t="e">
        <f>V678/S678</f>
        <v>#DIV/0!</v>
      </c>
      <c r="X678" s="3" t="e">
        <f>V678/U678</f>
        <v>#DIV/0!</v>
      </c>
      <c r="Y678" s="4" t="e">
        <f>S678*6/U678</f>
        <v>#DIV/0!</v>
      </c>
      <c r="Z678" s="2">
        <v>0</v>
      </c>
      <c r="AA678" s="2">
        <v>0</v>
      </c>
      <c r="AB678" s="2">
        <v>0</v>
      </c>
      <c r="AC678" s="2">
        <v>1</v>
      </c>
    </row>
    <row r="679" spans="1:29" x14ac:dyDescent="0.35">
      <c r="A679" s="1" t="s">
        <v>731</v>
      </c>
      <c r="B679" s="1" t="s">
        <v>588</v>
      </c>
      <c r="C679">
        <f>D679+E679+F679+G679+H679+I679</f>
        <v>13</v>
      </c>
      <c r="D679" s="2">
        <v>4</v>
      </c>
      <c r="E679" s="2">
        <v>8</v>
      </c>
      <c r="F679" s="2">
        <v>1</v>
      </c>
      <c r="G679" s="2">
        <v>0</v>
      </c>
      <c r="H679" s="2">
        <v>0</v>
      </c>
      <c r="I679" s="2">
        <v>0</v>
      </c>
      <c r="J679" s="2">
        <v>7</v>
      </c>
      <c r="K679">
        <f>J679+L679</f>
        <v>12</v>
      </c>
      <c r="L679" s="2">
        <v>5</v>
      </c>
      <c r="M679" s="2">
        <v>1</v>
      </c>
      <c r="N679" s="2">
        <v>80</v>
      </c>
      <c r="O679" s="3">
        <f>N679/J679</f>
        <v>11.428571428571429</v>
      </c>
      <c r="P679" s="2">
        <v>0</v>
      </c>
      <c r="Q679" s="2">
        <v>0</v>
      </c>
      <c r="R679" s="2">
        <v>12</v>
      </c>
      <c r="S679" s="2">
        <v>149</v>
      </c>
      <c r="T679" s="2">
        <v>41</v>
      </c>
      <c r="U679" s="2">
        <v>15</v>
      </c>
      <c r="V679" s="2">
        <v>355</v>
      </c>
      <c r="W679" s="3">
        <f>V679/S679</f>
        <v>2.3825503355704698</v>
      </c>
      <c r="X679" s="3">
        <f>V679/U679</f>
        <v>23.666666666666668</v>
      </c>
      <c r="Y679" s="4">
        <f>S679*6/U679</f>
        <v>59.6</v>
      </c>
      <c r="Z679" s="2">
        <v>3</v>
      </c>
      <c r="AA679" s="2">
        <v>0</v>
      </c>
      <c r="AB679" s="2">
        <v>0</v>
      </c>
      <c r="AC679" s="2">
        <v>4</v>
      </c>
    </row>
    <row r="680" spans="1:29" x14ac:dyDescent="0.35">
      <c r="A680" s="1" t="s">
        <v>732</v>
      </c>
      <c r="B680" s="1" t="s">
        <v>726</v>
      </c>
      <c r="C680">
        <f>D680+E680+F680+G680+H680+I680</f>
        <v>2</v>
      </c>
      <c r="D680" s="2">
        <v>0</v>
      </c>
      <c r="E680" s="2">
        <v>2</v>
      </c>
      <c r="F680" s="2">
        <v>0</v>
      </c>
      <c r="G680" s="2">
        <v>0</v>
      </c>
      <c r="H680" s="2">
        <v>0</v>
      </c>
      <c r="I680" s="2">
        <v>0</v>
      </c>
      <c r="J680" s="2">
        <v>2</v>
      </c>
      <c r="K680">
        <f>J680+L680</f>
        <v>2</v>
      </c>
      <c r="L680" s="2">
        <v>0</v>
      </c>
      <c r="M680" s="2">
        <v>0</v>
      </c>
      <c r="N680" s="2">
        <v>30</v>
      </c>
      <c r="O680" s="3">
        <f>N680/J680</f>
        <v>15</v>
      </c>
      <c r="P680" s="2">
        <v>0</v>
      </c>
      <c r="Q680" s="2">
        <v>0</v>
      </c>
      <c r="R680" s="2">
        <v>28</v>
      </c>
      <c r="S680" s="2">
        <v>4</v>
      </c>
      <c r="T680" s="2">
        <v>0</v>
      </c>
      <c r="U680" s="2">
        <v>0</v>
      </c>
      <c r="V680" s="2">
        <v>18</v>
      </c>
      <c r="W680" s="3">
        <f>V680/S680</f>
        <v>4.5</v>
      </c>
      <c r="X680" s="3" t="e">
        <f>V680/U680</f>
        <v>#DIV/0!</v>
      </c>
      <c r="Y680" s="4" t="e">
        <f>S680*6/U680</f>
        <v>#DIV/0!</v>
      </c>
      <c r="Z680" s="2">
        <v>0</v>
      </c>
      <c r="AA680" s="2">
        <v>0</v>
      </c>
      <c r="AB680" s="2">
        <v>0</v>
      </c>
      <c r="AC680" s="2">
        <v>1</v>
      </c>
    </row>
    <row r="681" spans="1:29" x14ac:dyDescent="0.35">
      <c r="A681" s="1" t="s">
        <v>732</v>
      </c>
      <c r="B681" s="1" t="s">
        <v>71</v>
      </c>
      <c r="C681">
        <f>D681+E681+F681+G681+H681+I681</f>
        <v>1</v>
      </c>
      <c r="D681" s="2">
        <v>0</v>
      </c>
      <c r="E681" s="2">
        <v>0</v>
      </c>
      <c r="F681" s="2">
        <v>0</v>
      </c>
      <c r="G681" s="2">
        <v>1</v>
      </c>
      <c r="H681" s="2">
        <v>0</v>
      </c>
      <c r="I681" s="2">
        <v>0</v>
      </c>
      <c r="J681" s="2">
        <v>1</v>
      </c>
      <c r="K681">
        <f>J681+L681</f>
        <v>1</v>
      </c>
      <c r="L681" s="2">
        <v>0</v>
      </c>
      <c r="M681" s="2">
        <v>0</v>
      </c>
      <c r="N681" s="2">
        <v>12</v>
      </c>
      <c r="O681" s="3">
        <f>N681/J681</f>
        <v>12</v>
      </c>
      <c r="P681" s="2">
        <v>0</v>
      </c>
      <c r="Q681" s="2">
        <v>0</v>
      </c>
      <c r="R681" s="2">
        <v>12</v>
      </c>
      <c r="S681" s="2">
        <v>0</v>
      </c>
      <c r="T681" s="2">
        <v>0</v>
      </c>
      <c r="U681" s="2">
        <v>0</v>
      </c>
      <c r="V681" s="2">
        <v>0</v>
      </c>
      <c r="W681" s="3" t="e">
        <f>V681/S681</f>
        <v>#DIV/0!</v>
      </c>
      <c r="X681" s="3" t="e">
        <f>V681/U681</f>
        <v>#DIV/0!</v>
      </c>
      <c r="Y681" s="4" t="e">
        <f>S681*6/U681</f>
        <v>#DIV/0!</v>
      </c>
      <c r="Z681" s="2">
        <v>0</v>
      </c>
      <c r="AA681" s="2">
        <v>0</v>
      </c>
      <c r="AB681" s="2">
        <v>0</v>
      </c>
      <c r="AC681" s="2">
        <v>0</v>
      </c>
    </row>
    <row r="682" spans="1:29" x14ac:dyDescent="0.35">
      <c r="A682" s="7" t="s">
        <v>1258</v>
      </c>
      <c r="B682" s="7" t="s">
        <v>163</v>
      </c>
      <c r="C682">
        <f>D682+E682+F682+G682+H682+I682</f>
        <v>2</v>
      </c>
      <c r="D682" s="5">
        <v>0</v>
      </c>
      <c r="E682" s="5">
        <v>0</v>
      </c>
      <c r="F682" s="5">
        <v>0</v>
      </c>
      <c r="G682" s="5">
        <v>2</v>
      </c>
      <c r="H682" s="5">
        <v>0</v>
      </c>
      <c r="I682" s="5">
        <v>0</v>
      </c>
      <c r="J682" s="5">
        <v>2</v>
      </c>
      <c r="K682">
        <f>J682+L682</f>
        <v>2</v>
      </c>
      <c r="L682" s="5">
        <v>0</v>
      </c>
      <c r="M682" s="5">
        <v>0</v>
      </c>
      <c r="N682" s="5">
        <v>11</v>
      </c>
      <c r="O682" s="3">
        <f>N682/J682</f>
        <v>5.5</v>
      </c>
      <c r="P682" s="5">
        <v>0</v>
      </c>
      <c r="Q682" s="5">
        <v>0</v>
      </c>
      <c r="R682" s="5">
        <v>9</v>
      </c>
      <c r="S682" s="35">
        <v>0</v>
      </c>
      <c r="T682" s="35">
        <v>0</v>
      </c>
      <c r="U682" s="35">
        <v>0</v>
      </c>
      <c r="V682" s="35">
        <v>0</v>
      </c>
      <c r="W682" s="3">
        <v>0</v>
      </c>
      <c r="X682" s="3">
        <v>0</v>
      </c>
      <c r="Y682" s="3">
        <v>0</v>
      </c>
      <c r="Z682" s="35">
        <v>0</v>
      </c>
      <c r="AA682" s="35">
        <v>0</v>
      </c>
      <c r="AB682" s="5">
        <v>0</v>
      </c>
      <c r="AC682" s="5">
        <v>0</v>
      </c>
    </row>
    <row r="683" spans="1:29" x14ac:dyDescent="0.35">
      <c r="A683" s="1" t="s">
        <v>733</v>
      </c>
      <c r="B683" s="1" t="s">
        <v>734</v>
      </c>
      <c r="C683">
        <f>D683+E683+F683+G683+H683+I683</f>
        <v>8</v>
      </c>
      <c r="D683" s="2">
        <v>0</v>
      </c>
      <c r="E683" s="2">
        <v>0</v>
      </c>
      <c r="F683" s="2">
        <v>0</v>
      </c>
      <c r="G683" s="2">
        <v>0</v>
      </c>
      <c r="H683" s="2">
        <v>8</v>
      </c>
      <c r="I683" s="2">
        <v>0</v>
      </c>
      <c r="J683" s="2">
        <v>3</v>
      </c>
      <c r="K683">
        <f>J683+L683</f>
        <v>6</v>
      </c>
      <c r="L683" s="2">
        <v>3</v>
      </c>
      <c r="M683" s="2">
        <v>3</v>
      </c>
      <c r="N683" s="2">
        <v>51</v>
      </c>
      <c r="O683" s="3">
        <f>N683/J683</f>
        <v>17</v>
      </c>
      <c r="P683" s="2">
        <v>0</v>
      </c>
      <c r="Q683" s="2">
        <v>0</v>
      </c>
      <c r="R683" s="2">
        <v>35</v>
      </c>
      <c r="S683" s="2">
        <v>120</v>
      </c>
      <c r="T683" s="2">
        <v>26</v>
      </c>
      <c r="U683" s="2">
        <v>15</v>
      </c>
      <c r="V683" s="2">
        <v>323</v>
      </c>
      <c r="W683" s="3">
        <f>V683/S683</f>
        <v>2.6916666666666669</v>
      </c>
      <c r="X683" s="3">
        <f>V683/U683</f>
        <v>21.533333333333335</v>
      </c>
      <c r="Y683" s="4">
        <f>S683*6/U683</f>
        <v>48</v>
      </c>
      <c r="Z683" s="2">
        <v>4</v>
      </c>
      <c r="AA683" s="2">
        <v>0</v>
      </c>
      <c r="AB683" s="2">
        <v>0</v>
      </c>
      <c r="AC683" s="2">
        <v>4</v>
      </c>
    </row>
    <row r="684" spans="1:29" x14ac:dyDescent="0.35">
      <c r="A684" s="1" t="s">
        <v>735</v>
      </c>
      <c r="B684" s="1" t="s">
        <v>190</v>
      </c>
      <c r="C684">
        <f>D684+E684+F684+G684+H684+I684</f>
        <v>14</v>
      </c>
      <c r="D684" s="2">
        <v>1</v>
      </c>
      <c r="E684" s="2">
        <v>0</v>
      </c>
      <c r="F684" s="2">
        <v>1</v>
      </c>
      <c r="G684" s="2">
        <v>5</v>
      </c>
      <c r="H684" s="2">
        <v>7</v>
      </c>
      <c r="I684" s="2">
        <v>0</v>
      </c>
      <c r="J684" s="2">
        <v>14</v>
      </c>
      <c r="K684">
        <f>J684+L684</f>
        <v>15</v>
      </c>
      <c r="L684" s="2">
        <v>1</v>
      </c>
      <c r="M684" s="2">
        <v>1</v>
      </c>
      <c r="N684" s="2">
        <v>409</v>
      </c>
      <c r="O684" s="3">
        <f>N684/J684</f>
        <v>29.214285714285715</v>
      </c>
      <c r="P684" s="2">
        <v>1</v>
      </c>
      <c r="Q684" s="2">
        <v>1</v>
      </c>
      <c r="R684" s="2">
        <v>116</v>
      </c>
      <c r="S684" s="2">
        <v>0</v>
      </c>
      <c r="T684" s="2">
        <v>0</v>
      </c>
      <c r="U684" s="2">
        <v>0</v>
      </c>
      <c r="V684" s="2">
        <v>0</v>
      </c>
      <c r="W684" s="3" t="e">
        <f>V684/S684</f>
        <v>#DIV/0!</v>
      </c>
      <c r="X684" s="3" t="e">
        <f>V684/U684</f>
        <v>#DIV/0!</v>
      </c>
      <c r="Y684" s="4" t="e">
        <f>S684*6/U684</f>
        <v>#DIV/0!</v>
      </c>
      <c r="Z684" s="2">
        <v>0</v>
      </c>
      <c r="AA684" s="2">
        <v>0</v>
      </c>
      <c r="AB684" s="2">
        <v>0</v>
      </c>
      <c r="AC684" s="2">
        <v>2</v>
      </c>
    </row>
    <row r="685" spans="1:29" x14ac:dyDescent="0.35">
      <c r="A685" s="15" t="s">
        <v>736</v>
      </c>
      <c r="B685" s="15" t="s">
        <v>97</v>
      </c>
      <c r="C685" s="18">
        <f>D685+E685+F685+G685+H685+I685</f>
        <v>280</v>
      </c>
      <c r="D685" s="16">
        <v>156</v>
      </c>
      <c r="E685" s="16">
        <v>60</v>
      </c>
      <c r="F685" s="16">
        <v>20</v>
      </c>
      <c r="G685" s="16">
        <v>30</v>
      </c>
      <c r="H685" s="16">
        <v>10</v>
      </c>
      <c r="I685" s="16">
        <v>4</v>
      </c>
      <c r="J685" s="16">
        <v>113</v>
      </c>
      <c r="K685" s="18">
        <f>J685+L685</f>
        <v>180</v>
      </c>
      <c r="L685" s="16">
        <v>67</v>
      </c>
      <c r="M685" s="16">
        <v>108</v>
      </c>
      <c r="N685" s="16">
        <v>1459</v>
      </c>
      <c r="O685" s="19">
        <f>N685/J685</f>
        <v>12.91150442477876</v>
      </c>
      <c r="P685" s="16">
        <v>3</v>
      </c>
      <c r="Q685" s="16">
        <v>1</v>
      </c>
      <c r="R685" s="16">
        <v>100</v>
      </c>
      <c r="S685" s="16">
        <f>3063.1+13</f>
        <v>3076.1</v>
      </c>
      <c r="T685" s="16">
        <v>866</v>
      </c>
      <c r="U685" s="16">
        <v>512</v>
      </c>
      <c r="V685" s="16">
        <f>7388+24</f>
        <v>7412</v>
      </c>
      <c r="W685" s="19">
        <f>V685/S685</f>
        <v>2.4095445531679727</v>
      </c>
      <c r="X685" s="19">
        <f>V685/U685</f>
        <v>14.4765625</v>
      </c>
      <c r="Y685" s="20">
        <f>S685*6/U685</f>
        <v>36.048046874999997</v>
      </c>
      <c r="Z685" s="16">
        <v>7</v>
      </c>
      <c r="AA685" s="16">
        <v>11</v>
      </c>
      <c r="AB685" s="16">
        <v>0</v>
      </c>
      <c r="AC685" s="16">
        <v>71</v>
      </c>
    </row>
    <row r="686" spans="1:29" x14ac:dyDescent="0.35">
      <c r="A686" s="15" t="s">
        <v>736</v>
      </c>
      <c r="B686" s="15" t="s">
        <v>737</v>
      </c>
      <c r="C686" s="18">
        <f>D686+E686+F686+G686+H686+I686</f>
        <v>46</v>
      </c>
      <c r="D686" s="16">
        <v>3</v>
      </c>
      <c r="E686" s="16">
        <v>36</v>
      </c>
      <c r="F686" s="16">
        <v>4</v>
      </c>
      <c r="G686" s="16">
        <v>1</v>
      </c>
      <c r="H686" s="16">
        <v>2</v>
      </c>
      <c r="I686" s="16">
        <v>0</v>
      </c>
      <c r="J686" s="16">
        <v>22</v>
      </c>
      <c r="K686" s="18">
        <f>J686+L686</f>
        <v>26</v>
      </c>
      <c r="L686" s="16">
        <v>4</v>
      </c>
      <c r="M686" s="16">
        <v>21</v>
      </c>
      <c r="N686" s="16">
        <f>315+17</f>
        <v>332</v>
      </c>
      <c r="O686" s="19">
        <f>N686/J686</f>
        <v>15.090909090909092</v>
      </c>
      <c r="P686" s="16">
        <v>0</v>
      </c>
      <c r="Q686" s="16">
        <v>0</v>
      </c>
      <c r="R686" s="16">
        <v>41</v>
      </c>
      <c r="S686" s="16">
        <v>250.1</v>
      </c>
      <c r="T686" s="16">
        <v>53</v>
      </c>
      <c r="U686" s="16">
        <f>25+9</f>
        <v>34</v>
      </c>
      <c r="V686" s="16">
        <v>850</v>
      </c>
      <c r="W686" s="19">
        <f>V686/S686</f>
        <v>3.3986405437824869</v>
      </c>
      <c r="X686" s="19">
        <f>V686/U686</f>
        <v>25</v>
      </c>
      <c r="Y686" s="20">
        <f>S686*6/U686</f>
        <v>44.135294117647057</v>
      </c>
      <c r="Z686" s="16">
        <v>5</v>
      </c>
      <c r="AA686" s="16">
        <v>1</v>
      </c>
      <c r="AB686" s="16">
        <v>0</v>
      </c>
      <c r="AC686" s="16">
        <v>20</v>
      </c>
    </row>
    <row r="687" spans="1:29" x14ac:dyDescent="0.35">
      <c r="A687" s="1" t="s">
        <v>736</v>
      </c>
      <c r="B687" s="1" t="s">
        <v>77</v>
      </c>
      <c r="C687">
        <f>D687+E687+F687+G687+H687+I687</f>
        <v>31</v>
      </c>
      <c r="D687" s="2">
        <v>0</v>
      </c>
      <c r="E687" s="2">
        <v>31</v>
      </c>
      <c r="F687" s="2">
        <v>0</v>
      </c>
      <c r="G687" s="2">
        <v>0</v>
      </c>
      <c r="H687" s="2">
        <v>0</v>
      </c>
      <c r="I687" s="2">
        <v>0</v>
      </c>
      <c r="J687" s="2">
        <v>15</v>
      </c>
      <c r="K687">
        <f>J687+L687</f>
        <v>23</v>
      </c>
      <c r="L687" s="2">
        <v>8</v>
      </c>
      <c r="M687" s="2">
        <v>8</v>
      </c>
      <c r="N687" s="2">
        <f>296+223</f>
        <v>519</v>
      </c>
      <c r="O687" s="3">
        <f>N687/J687</f>
        <v>34.6</v>
      </c>
      <c r="P687" s="2">
        <v>2</v>
      </c>
      <c r="Q687" s="2">
        <v>1</v>
      </c>
      <c r="R687" s="2">
        <v>110</v>
      </c>
      <c r="S687" s="2">
        <f>78.2+59</f>
        <v>137.19999999999999</v>
      </c>
      <c r="T687" s="2">
        <v>36</v>
      </c>
      <c r="U687" s="2">
        <v>38</v>
      </c>
      <c r="V687" s="2">
        <f>217+114</f>
        <v>331</v>
      </c>
      <c r="W687" s="3">
        <f>V687/S687</f>
        <v>2.4125364431486882</v>
      </c>
      <c r="X687" s="3">
        <f>V687/U687</f>
        <v>8.7105263157894743</v>
      </c>
      <c r="Y687" s="4">
        <f>S687*6/U687</f>
        <v>21.663157894736841</v>
      </c>
      <c r="Z687" s="2" t="s">
        <v>1140</v>
      </c>
      <c r="AA687" s="2">
        <v>1</v>
      </c>
      <c r="AB687" s="2">
        <v>0</v>
      </c>
      <c r="AC687" s="2">
        <v>12</v>
      </c>
    </row>
    <row r="688" spans="1:29" x14ac:dyDescent="0.35">
      <c r="A688" s="1" t="s">
        <v>736</v>
      </c>
      <c r="B688" s="1" t="s">
        <v>669</v>
      </c>
      <c r="C688">
        <f>D688+E688+F688+G688+H688+I688</f>
        <v>4</v>
      </c>
      <c r="D688" s="2">
        <v>0</v>
      </c>
      <c r="E688" s="2">
        <v>1</v>
      </c>
      <c r="F688" s="2">
        <v>3</v>
      </c>
      <c r="G688" s="2">
        <v>0</v>
      </c>
      <c r="H688" s="2">
        <v>0</v>
      </c>
      <c r="I688" s="2">
        <v>0</v>
      </c>
      <c r="J688" s="2">
        <v>4</v>
      </c>
      <c r="K688">
        <f>J688+L688</f>
        <v>4</v>
      </c>
      <c r="L688" s="2">
        <v>0</v>
      </c>
      <c r="M688" s="2">
        <v>0</v>
      </c>
      <c r="N688" s="2">
        <v>63</v>
      </c>
      <c r="O688" s="3">
        <f>N688/J688</f>
        <v>15.75</v>
      </c>
      <c r="P688" s="2">
        <v>1</v>
      </c>
      <c r="Q688" s="2">
        <v>0</v>
      </c>
      <c r="R688" s="2">
        <v>61</v>
      </c>
      <c r="S688" s="2">
        <v>0</v>
      </c>
      <c r="T688" s="2">
        <v>0</v>
      </c>
      <c r="U688" s="2">
        <v>0</v>
      </c>
      <c r="V688" s="2">
        <v>0</v>
      </c>
      <c r="W688" s="3" t="e">
        <f>V688/S688</f>
        <v>#DIV/0!</v>
      </c>
      <c r="X688" s="3" t="e">
        <f>V688/U688</f>
        <v>#DIV/0!</v>
      </c>
      <c r="Y688" s="4" t="e">
        <f>S688*6/U688</f>
        <v>#DIV/0!</v>
      </c>
      <c r="Z688" s="2">
        <v>0</v>
      </c>
      <c r="AA688" s="2">
        <v>0</v>
      </c>
      <c r="AB688" s="2">
        <v>0</v>
      </c>
      <c r="AC688" s="2">
        <v>0</v>
      </c>
    </row>
    <row r="689" spans="1:29" x14ac:dyDescent="0.35">
      <c r="A689" s="1" t="s">
        <v>738</v>
      </c>
      <c r="B689" s="1" t="s">
        <v>327</v>
      </c>
      <c r="C689">
        <f>D689+E689+F689+G689+H689+I689</f>
        <v>6</v>
      </c>
      <c r="D689" s="2">
        <v>0</v>
      </c>
      <c r="E689" s="2">
        <v>0</v>
      </c>
      <c r="F689" s="2">
        <v>0</v>
      </c>
      <c r="G689" s="2">
        <v>0</v>
      </c>
      <c r="H689" s="2">
        <v>6</v>
      </c>
      <c r="I689" s="2">
        <v>0</v>
      </c>
      <c r="J689" s="2">
        <v>6</v>
      </c>
      <c r="K689">
        <f>J689+L689</f>
        <v>7</v>
      </c>
      <c r="L689" s="2">
        <v>1</v>
      </c>
      <c r="M689" s="2">
        <v>1</v>
      </c>
      <c r="N689" s="2">
        <v>80</v>
      </c>
      <c r="O689" s="3">
        <f>N689/J689</f>
        <v>13.333333333333334</v>
      </c>
      <c r="P689" s="2">
        <v>0</v>
      </c>
      <c r="Q689" s="2">
        <v>0</v>
      </c>
      <c r="R689" s="2">
        <v>26</v>
      </c>
      <c r="S689" s="2">
        <v>0</v>
      </c>
      <c r="T689" s="2">
        <v>0</v>
      </c>
      <c r="U689" s="2">
        <v>0</v>
      </c>
      <c r="V689" s="2">
        <v>0</v>
      </c>
      <c r="W689" s="3" t="e">
        <f>V689/S689</f>
        <v>#DIV/0!</v>
      </c>
      <c r="X689" s="3" t="e">
        <f>V689/U689</f>
        <v>#DIV/0!</v>
      </c>
      <c r="Y689" s="4" t="e">
        <f>S689*6/U689</f>
        <v>#DIV/0!</v>
      </c>
      <c r="Z689" s="2">
        <v>0</v>
      </c>
      <c r="AA689" s="2">
        <v>0</v>
      </c>
      <c r="AB689" s="2">
        <v>0</v>
      </c>
      <c r="AC689" s="2">
        <v>0</v>
      </c>
    </row>
    <row r="690" spans="1:29" x14ac:dyDescent="0.35">
      <c r="A690" s="1" t="s">
        <v>739</v>
      </c>
      <c r="B690" s="1" t="s">
        <v>512</v>
      </c>
      <c r="C690">
        <f>D690+E690+F690+G690+H690+I690</f>
        <v>5</v>
      </c>
      <c r="D690" s="2">
        <v>0</v>
      </c>
      <c r="E690" s="2">
        <v>0</v>
      </c>
      <c r="F690" s="2">
        <v>1</v>
      </c>
      <c r="G690" s="2">
        <v>3</v>
      </c>
      <c r="H690" s="2">
        <v>1</v>
      </c>
      <c r="I690" s="2">
        <v>0</v>
      </c>
      <c r="J690" s="2">
        <v>2</v>
      </c>
      <c r="K690">
        <f>J690+L690</f>
        <v>3</v>
      </c>
      <c r="L690" s="2">
        <v>1</v>
      </c>
      <c r="M690" s="2">
        <v>2</v>
      </c>
      <c r="N690" s="2">
        <v>4</v>
      </c>
      <c r="O690" s="3">
        <f>N690/J690</f>
        <v>2</v>
      </c>
      <c r="P690" s="2">
        <v>0</v>
      </c>
      <c r="Q690" s="2">
        <v>0</v>
      </c>
      <c r="R690" s="2">
        <v>3</v>
      </c>
      <c r="S690" s="2">
        <v>46</v>
      </c>
      <c r="T690" s="2">
        <v>6</v>
      </c>
      <c r="U690" s="2">
        <v>3</v>
      </c>
      <c r="V690" s="2">
        <v>131</v>
      </c>
      <c r="W690" s="3">
        <f>V690/S690</f>
        <v>2.847826086956522</v>
      </c>
      <c r="X690" s="3">
        <f>V690/U690</f>
        <v>43.666666666666664</v>
      </c>
      <c r="Y690" s="4">
        <f>S690*6/U690</f>
        <v>92</v>
      </c>
      <c r="Z690" s="2">
        <v>2</v>
      </c>
      <c r="AA690" s="2">
        <v>0</v>
      </c>
      <c r="AB690" s="2">
        <v>0</v>
      </c>
      <c r="AC690" s="2">
        <v>0</v>
      </c>
    </row>
    <row r="691" spans="1:29" x14ac:dyDescent="0.35">
      <c r="A691" s="1" t="s">
        <v>740</v>
      </c>
      <c r="B691" s="1" t="s">
        <v>146</v>
      </c>
      <c r="C691">
        <f>D691+E691+F691+G691+H691+I691</f>
        <v>15</v>
      </c>
      <c r="D691" s="2">
        <v>0</v>
      </c>
      <c r="E691" s="2">
        <v>0</v>
      </c>
      <c r="F691" s="2">
        <v>0</v>
      </c>
      <c r="G691" s="2">
        <v>0</v>
      </c>
      <c r="H691" s="2">
        <v>3</v>
      </c>
      <c r="I691" s="2">
        <v>12</v>
      </c>
      <c r="J691" s="2">
        <v>11</v>
      </c>
      <c r="K691">
        <f>J691+L691</f>
        <v>12</v>
      </c>
      <c r="L691" s="2">
        <v>1</v>
      </c>
      <c r="M691" s="2">
        <v>2</v>
      </c>
      <c r="N691" s="2">
        <v>61</v>
      </c>
      <c r="O691" s="3">
        <f>N691/J691</f>
        <v>5.5454545454545459</v>
      </c>
      <c r="P691" s="2">
        <v>0</v>
      </c>
      <c r="Q691" s="2">
        <v>0</v>
      </c>
      <c r="R691" s="2">
        <v>14</v>
      </c>
      <c r="S691" s="2">
        <v>8</v>
      </c>
      <c r="T691" s="2">
        <v>1</v>
      </c>
      <c r="U691" s="2">
        <v>1</v>
      </c>
      <c r="V691" s="2">
        <v>26</v>
      </c>
      <c r="W691" s="3">
        <f>V691/S691</f>
        <v>3.25</v>
      </c>
      <c r="X691" s="3">
        <f>V691/U691</f>
        <v>26</v>
      </c>
      <c r="Y691" s="4">
        <f>S691*6/U691</f>
        <v>48</v>
      </c>
      <c r="Z691" s="2">
        <v>1</v>
      </c>
      <c r="AA691" s="2">
        <v>0</v>
      </c>
      <c r="AB691" s="2">
        <v>0</v>
      </c>
      <c r="AC691" s="2">
        <v>2</v>
      </c>
    </row>
    <row r="692" spans="1:29" x14ac:dyDescent="0.35">
      <c r="A692" s="1" t="s">
        <v>740</v>
      </c>
      <c r="B692" s="1" t="s">
        <v>174</v>
      </c>
      <c r="C692">
        <f>D692+E692+F692+G692+H692+I692</f>
        <v>2</v>
      </c>
      <c r="D692" s="2">
        <v>0</v>
      </c>
      <c r="E692" s="2">
        <v>0</v>
      </c>
      <c r="F692" s="2">
        <v>0</v>
      </c>
      <c r="G692" s="2">
        <v>0</v>
      </c>
      <c r="H692" s="2">
        <v>2</v>
      </c>
      <c r="I692" s="2">
        <v>0</v>
      </c>
      <c r="J692" s="2">
        <v>1</v>
      </c>
      <c r="K692">
        <f>J692+L692</f>
        <v>2</v>
      </c>
      <c r="L692" s="2">
        <v>1</v>
      </c>
      <c r="M692" s="2">
        <v>0</v>
      </c>
      <c r="N692" s="2">
        <v>7</v>
      </c>
      <c r="O692" s="3">
        <f>N692/J692</f>
        <v>7</v>
      </c>
      <c r="P692" s="2">
        <v>0</v>
      </c>
      <c r="Q692" s="2">
        <v>0</v>
      </c>
      <c r="R692" s="2">
        <v>7</v>
      </c>
      <c r="S692" s="2">
        <v>0</v>
      </c>
      <c r="T692" s="2">
        <v>0</v>
      </c>
      <c r="U692" s="2">
        <v>0</v>
      </c>
      <c r="V692" s="2">
        <v>0</v>
      </c>
      <c r="W692" s="3" t="e">
        <f>V692/S692</f>
        <v>#DIV/0!</v>
      </c>
      <c r="X692" s="3" t="e">
        <f>V692/U692</f>
        <v>#DIV/0!</v>
      </c>
      <c r="Y692" s="4" t="e">
        <f>S692*6/U692</f>
        <v>#DIV/0!</v>
      </c>
      <c r="Z692" s="2">
        <v>0</v>
      </c>
      <c r="AA692" s="2">
        <v>0</v>
      </c>
      <c r="AB692" s="2">
        <v>0</v>
      </c>
      <c r="AC692" s="2">
        <v>0</v>
      </c>
    </row>
    <row r="693" spans="1:29" x14ac:dyDescent="0.35">
      <c r="A693" s="1" t="s">
        <v>741</v>
      </c>
      <c r="B693" s="1" t="s">
        <v>453</v>
      </c>
      <c r="C693">
        <f>D693+E693+F693+G693+H693+I693</f>
        <v>11</v>
      </c>
      <c r="D693" s="2">
        <v>10</v>
      </c>
      <c r="E693" s="2">
        <v>0</v>
      </c>
      <c r="F693" s="2">
        <v>1</v>
      </c>
      <c r="G693" s="2">
        <v>0</v>
      </c>
      <c r="H693" s="2">
        <v>0</v>
      </c>
      <c r="I693" s="2">
        <v>0</v>
      </c>
      <c r="J693" s="2">
        <v>7</v>
      </c>
      <c r="K693">
        <f>J693+L693</f>
        <v>10</v>
      </c>
      <c r="L693" s="2">
        <v>3</v>
      </c>
      <c r="M693" s="2">
        <v>3</v>
      </c>
      <c r="N693" s="2">
        <v>206</v>
      </c>
      <c r="O693" s="3">
        <f>N693/J693</f>
        <v>29.428571428571427</v>
      </c>
      <c r="P693" s="2">
        <v>2</v>
      </c>
      <c r="Q693" s="2">
        <v>0</v>
      </c>
      <c r="R693" s="2">
        <v>61</v>
      </c>
      <c r="S693" s="2">
        <v>109</v>
      </c>
      <c r="T693" s="2">
        <v>26</v>
      </c>
      <c r="U693" s="2">
        <v>20</v>
      </c>
      <c r="V693" s="2">
        <v>311</v>
      </c>
      <c r="W693" s="3">
        <f>V693/S693</f>
        <v>2.8532110091743119</v>
      </c>
      <c r="X693" s="3">
        <f>V693/U693</f>
        <v>15.55</v>
      </c>
      <c r="Y693" s="4">
        <f>S693*6/U693</f>
        <v>32.700000000000003</v>
      </c>
      <c r="Z693" s="2">
        <v>4</v>
      </c>
      <c r="AA693" s="2">
        <v>0</v>
      </c>
      <c r="AB693" s="2">
        <v>0</v>
      </c>
      <c r="AC693" s="2">
        <v>4</v>
      </c>
    </row>
    <row r="694" spans="1:29" x14ac:dyDescent="0.35">
      <c r="A694" s="1" t="s">
        <v>742</v>
      </c>
      <c r="B694" s="1" t="s">
        <v>743</v>
      </c>
      <c r="C694">
        <f>D694+E694+F694+G694+H694+I694</f>
        <v>10</v>
      </c>
      <c r="D694" s="2">
        <v>10</v>
      </c>
      <c r="E694" s="2">
        <v>0</v>
      </c>
      <c r="F694" s="2">
        <v>0</v>
      </c>
      <c r="G694" s="2">
        <v>0</v>
      </c>
      <c r="H694" s="2">
        <v>0</v>
      </c>
      <c r="I694" s="2">
        <v>0</v>
      </c>
      <c r="J694" s="2">
        <v>2</v>
      </c>
      <c r="K694">
        <f>J694+L694</f>
        <v>3</v>
      </c>
      <c r="L694" s="2">
        <v>1</v>
      </c>
      <c r="M694" s="2">
        <v>7</v>
      </c>
      <c r="N694" s="2">
        <v>14</v>
      </c>
      <c r="O694" s="3">
        <f>N694/J694</f>
        <v>7</v>
      </c>
      <c r="P694" s="2">
        <v>0</v>
      </c>
      <c r="Q694" s="2">
        <v>0</v>
      </c>
      <c r="R694" s="2">
        <v>10</v>
      </c>
      <c r="S694" s="2">
        <v>123</v>
      </c>
      <c r="T694" s="2">
        <v>40</v>
      </c>
      <c r="U694" s="2">
        <v>24</v>
      </c>
      <c r="V694" s="2">
        <v>271</v>
      </c>
      <c r="W694" s="3">
        <f>V694/S694</f>
        <v>2.2032520325203251</v>
      </c>
      <c r="X694" s="3">
        <f>V694/U694</f>
        <v>11.291666666666666</v>
      </c>
      <c r="Y694" s="4">
        <f>S694*6/U694</f>
        <v>30.75</v>
      </c>
      <c r="Z694" s="2">
        <v>6</v>
      </c>
      <c r="AA694" s="2">
        <v>1</v>
      </c>
      <c r="AB694" s="2">
        <v>0</v>
      </c>
      <c r="AC694" s="11">
        <v>0</v>
      </c>
    </row>
    <row r="695" spans="1:29" x14ac:dyDescent="0.35">
      <c r="A695" s="11" t="s">
        <v>1228</v>
      </c>
      <c r="B695" s="11" t="s">
        <v>1229</v>
      </c>
      <c r="C695">
        <f>D695+E695+F695+G695+H695+I695</f>
        <v>10</v>
      </c>
      <c r="D695" s="2">
        <v>0</v>
      </c>
      <c r="E695" s="2">
        <v>0</v>
      </c>
      <c r="F695" s="2">
        <v>10</v>
      </c>
      <c r="G695" s="2">
        <v>0</v>
      </c>
      <c r="H695" s="2">
        <v>0</v>
      </c>
      <c r="I695" s="2">
        <v>0</v>
      </c>
      <c r="J695" s="2">
        <v>7</v>
      </c>
      <c r="K695">
        <f>J695+L695</f>
        <v>9</v>
      </c>
      <c r="L695" s="2">
        <v>2</v>
      </c>
      <c r="M695" s="2">
        <v>1</v>
      </c>
      <c r="N695" s="2">
        <v>123</v>
      </c>
      <c r="O695" s="3">
        <f>N695/J695</f>
        <v>17.571428571428573</v>
      </c>
      <c r="P695" s="2">
        <v>0</v>
      </c>
      <c r="Q695" s="2">
        <v>0</v>
      </c>
      <c r="R695" s="2">
        <v>34</v>
      </c>
      <c r="S695" s="11">
        <v>12</v>
      </c>
      <c r="T695" s="11">
        <v>0</v>
      </c>
      <c r="U695" s="11">
        <v>2</v>
      </c>
      <c r="V695" s="11">
        <v>76</v>
      </c>
      <c r="W695" s="3">
        <f>V695/S695</f>
        <v>6.333333333333333</v>
      </c>
      <c r="X695">
        <f>V695/U695</f>
        <v>38</v>
      </c>
      <c r="Y695" s="3">
        <f>72/2</f>
        <v>36</v>
      </c>
      <c r="Z695" s="11" t="s">
        <v>1230</v>
      </c>
      <c r="AA695" s="11">
        <v>0</v>
      </c>
      <c r="AB695" s="11">
        <v>0</v>
      </c>
      <c r="AC695" s="35">
        <v>4</v>
      </c>
    </row>
    <row r="696" spans="1:29" x14ac:dyDescent="0.35">
      <c r="A696" s="35" t="s">
        <v>1342</v>
      </c>
      <c r="B696" s="35" t="s">
        <v>1343</v>
      </c>
      <c r="C696">
        <f>D696+E696+F696+G696+H696+I696</f>
        <v>1</v>
      </c>
      <c r="D696" s="5">
        <v>0</v>
      </c>
      <c r="E696" s="5">
        <v>0</v>
      </c>
      <c r="F696" s="5">
        <v>0</v>
      </c>
      <c r="G696" s="5">
        <v>1</v>
      </c>
      <c r="H696" s="5">
        <v>0</v>
      </c>
      <c r="I696" s="5">
        <v>0</v>
      </c>
      <c r="J696" s="5">
        <v>0</v>
      </c>
      <c r="K696">
        <f>J696+L696</f>
        <v>0</v>
      </c>
      <c r="L696" s="5">
        <v>0</v>
      </c>
      <c r="M696" s="5">
        <v>1</v>
      </c>
      <c r="N696" s="5">
        <v>0</v>
      </c>
      <c r="O696" s="3" t="e">
        <f>N696/J696</f>
        <v>#DIV/0!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6">
        <v>0</v>
      </c>
      <c r="X696" s="3" t="e">
        <f>V696/U696</f>
        <v>#DIV/0!</v>
      </c>
      <c r="Y696">
        <v>0</v>
      </c>
      <c r="Z696" s="5">
        <v>0</v>
      </c>
      <c r="AA696" s="5">
        <v>0</v>
      </c>
      <c r="AB696" s="5">
        <v>0</v>
      </c>
      <c r="AC696" s="8">
        <v>0</v>
      </c>
    </row>
    <row r="697" spans="1:29" x14ac:dyDescent="0.35">
      <c r="A697" t="s">
        <v>1241</v>
      </c>
      <c r="B697" t="s">
        <v>1242</v>
      </c>
      <c r="C697">
        <f>D697+E697+F697+G697+H697+I697</f>
        <v>2</v>
      </c>
      <c r="D697" s="5">
        <v>0</v>
      </c>
      <c r="E697" s="5">
        <v>0</v>
      </c>
      <c r="F697" s="5">
        <v>2</v>
      </c>
      <c r="G697" s="5">
        <v>0</v>
      </c>
      <c r="H697" s="5">
        <v>0</v>
      </c>
      <c r="I697" s="5">
        <v>0</v>
      </c>
      <c r="J697" s="5">
        <v>1</v>
      </c>
      <c r="K697">
        <f>J697+L697</f>
        <v>2</v>
      </c>
      <c r="L697" s="5">
        <v>1</v>
      </c>
      <c r="M697" s="5">
        <v>0</v>
      </c>
      <c r="N697" s="5">
        <v>5</v>
      </c>
      <c r="O697" s="3">
        <f>N697/J697</f>
        <v>5</v>
      </c>
      <c r="P697" s="5">
        <v>0</v>
      </c>
      <c r="Q697" s="5">
        <v>0</v>
      </c>
      <c r="R697" s="10" t="s">
        <v>1213</v>
      </c>
      <c r="S697" s="5">
        <v>0</v>
      </c>
      <c r="T697" s="5">
        <v>0</v>
      </c>
      <c r="U697" s="8">
        <v>0</v>
      </c>
      <c r="V697" s="6">
        <v>0</v>
      </c>
      <c r="W697" s="6">
        <v>0</v>
      </c>
      <c r="X697" s="6">
        <v>0</v>
      </c>
      <c r="Y697" s="6">
        <v>0</v>
      </c>
      <c r="Z697" s="6">
        <v>0</v>
      </c>
      <c r="AA697" s="40">
        <v>0</v>
      </c>
      <c r="AB697" s="6">
        <v>0</v>
      </c>
      <c r="AC697" s="6">
        <v>0</v>
      </c>
    </row>
    <row r="698" spans="1:29" x14ac:dyDescent="0.35">
      <c r="A698" s="34" t="s">
        <v>744</v>
      </c>
      <c r="B698" s="34" t="s">
        <v>745</v>
      </c>
      <c r="C698">
        <f>D698+E698+F698+G698+H698+I698</f>
        <v>7</v>
      </c>
      <c r="D698" s="5">
        <v>0</v>
      </c>
      <c r="E698" s="5">
        <v>7</v>
      </c>
      <c r="F698" s="5">
        <v>0</v>
      </c>
      <c r="G698" s="5">
        <v>0</v>
      </c>
      <c r="H698" s="5">
        <v>0</v>
      </c>
      <c r="I698" s="5">
        <v>0</v>
      </c>
      <c r="J698" s="5">
        <v>7</v>
      </c>
      <c r="K698">
        <f>J698+L698</f>
        <v>7</v>
      </c>
      <c r="L698" s="5">
        <v>0</v>
      </c>
      <c r="M698" s="5">
        <v>1</v>
      </c>
      <c r="N698" s="5">
        <v>102</v>
      </c>
      <c r="O698" s="3">
        <f>N698/J698</f>
        <v>14.571428571428571</v>
      </c>
      <c r="P698" s="5">
        <v>0</v>
      </c>
      <c r="Q698" s="5">
        <v>0</v>
      </c>
      <c r="R698" s="40">
        <v>37</v>
      </c>
      <c r="S698" s="40">
        <v>31</v>
      </c>
      <c r="T698" s="40">
        <v>7</v>
      </c>
      <c r="U698" s="40">
        <v>3</v>
      </c>
      <c r="V698" s="40">
        <v>104</v>
      </c>
      <c r="W698" s="3">
        <f>V698/S698</f>
        <v>3.3548387096774195</v>
      </c>
      <c r="X698" s="3">
        <f>V698/U698</f>
        <v>34.666666666666664</v>
      </c>
      <c r="Y698" s="4">
        <f>S698*6/U698</f>
        <v>62</v>
      </c>
      <c r="Z698" s="40">
        <v>2</v>
      </c>
      <c r="AA698" s="40">
        <v>0</v>
      </c>
      <c r="AB698" s="40">
        <v>0</v>
      </c>
      <c r="AC698" s="40">
        <v>1</v>
      </c>
    </row>
    <row r="699" spans="1:29" x14ac:dyDescent="0.35">
      <c r="A699" s="1" t="s">
        <v>746</v>
      </c>
      <c r="B699" s="1" t="s">
        <v>77</v>
      </c>
      <c r="C699">
        <f>D699+E699+F699+G699+H699+I699</f>
        <v>54</v>
      </c>
      <c r="D699" s="2">
        <v>52</v>
      </c>
      <c r="E699" s="2">
        <v>1</v>
      </c>
      <c r="F699" s="2">
        <v>0</v>
      </c>
      <c r="G699" s="2">
        <v>1</v>
      </c>
      <c r="H699" s="2">
        <v>0</v>
      </c>
      <c r="I699" s="2">
        <v>0</v>
      </c>
      <c r="J699" s="2">
        <v>23</v>
      </c>
      <c r="K699">
        <f>J699+L699</f>
        <v>35</v>
      </c>
      <c r="L699" s="2">
        <v>12</v>
      </c>
      <c r="M699" s="2">
        <v>13</v>
      </c>
      <c r="N699" s="2">
        <v>554</v>
      </c>
      <c r="O699" s="3">
        <f>N699/J699</f>
        <v>24.086956521739129</v>
      </c>
      <c r="P699" s="2">
        <v>3</v>
      </c>
      <c r="Q699" s="2">
        <v>0</v>
      </c>
      <c r="R699" s="2">
        <v>70</v>
      </c>
      <c r="S699" s="2">
        <v>613</v>
      </c>
      <c r="T699" s="2">
        <v>181</v>
      </c>
      <c r="U699" s="2">
        <v>94</v>
      </c>
      <c r="V699" s="2">
        <v>1472</v>
      </c>
      <c r="W699" s="3">
        <f>V699/S699</f>
        <v>2.401305057096248</v>
      </c>
      <c r="X699" s="3">
        <f>V699/U699</f>
        <v>15.659574468085106</v>
      </c>
      <c r="Y699" s="4">
        <f>S699*6/U699</f>
        <v>39.127659574468083</v>
      </c>
      <c r="Z699" s="2">
        <v>8</v>
      </c>
      <c r="AA699" s="2">
        <v>2</v>
      </c>
      <c r="AB699" s="2">
        <v>0</v>
      </c>
      <c r="AC699" s="2">
        <v>6</v>
      </c>
    </row>
    <row r="700" spans="1:29" x14ac:dyDescent="0.35">
      <c r="A700" s="1" t="s">
        <v>747</v>
      </c>
      <c r="B700" s="1" t="s">
        <v>32</v>
      </c>
      <c r="C700">
        <f>D700+E700+F700+G700+H700+I700</f>
        <v>3</v>
      </c>
      <c r="D700" s="2">
        <v>0</v>
      </c>
      <c r="E700" s="2">
        <v>0</v>
      </c>
      <c r="F700" s="2">
        <v>0</v>
      </c>
      <c r="G700" s="2">
        <v>3</v>
      </c>
      <c r="H700" s="2">
        <v>0</v>
      </c>
      <c r="I700" s="2">
        <v>0</v>
      </c>
      <c r="J700" s="2">
        <v>1</v>
      </c>
      <c r="K700">
        <f>J700+L700</f>
        <v>3</v>
      </c>
      <c r="L700" s="2">
        <v>2</v>
      </c>
      <c r="M700" s="2">
        <v>0</v>
      </c>
      <c r="N700" s="2">
        <v>5</v>
      </c>
      <c r="O700" s="3">
        <f>N700/J700</f>
        <v>5</v>
      </c>
      <c r="P700" s="2">
        <v>0</v>
      </c>
      <c r="Q700" s="2">
        <v>0</v>
      </c>
      <c r="R700" s="2">
        <v>2</v>
      </c>
      <c r="S700" s="2">
        <v>0</v>
      </c>
      <c r="T700" s="2">
        <v>0</v>
      </c>
      <c r="U700" s="2">
        <v>0</v>
      </c>
      <c r="V700" s="2">
        <v>0</v>
      </c>
      <c r="W700" s="3" t="e">
        <f>V700/S700</f>
        <v>#DIV/0!</v>
      </c>
      <c r="X700" s="3" t="e">
        <f>V700/U700</f>
        <v>#DIV/0!</v>
      </c>
      <c r="Y700" s="4" t="e">
        <f>S700*6/U700</f>
        <v>#DIV/0!</v>
      </c>
      <c r="Z700" s="2">
        <v>0</v>
      </c>
      <c r="AA700" s="2">
        <v>0</v>
      </c>
      <c r="AB700" s="2">
        <v>0</v>
      </c>
      <c r="AC700" s="2">
        <v>1</v>
      </c>
    </row>
    <row r="701" spans="1:29" x14ac:dyDescent="0.35">
      <c r="A701" s="1" t="s">
        <v>748</v>
      </c>
      <c r="B701" s="1" t="s">
        <v>193</v>
      </c>
      <c r="C701">
        <f>D701+E701+F701+G701+H701+I701</f>
        <v>2</v>
      </c>
      <c r="D701" s="2">
        <v>0</v>
      </c>
      <c r="E701" s="2">
        <v>2</v>
      </c>
      <c r="F701" s="2">
        <v>0</v>
      </c>
      <c r="G701" s="2">
        <v>0</v>
      </c>
      <c r="H701" s="2">
        <v>0</v>
      </c>
      <c r="I701" s="2">
        <v>0</v>
      </c>
      <c r="J701" s="2">
        <v>1</v>
      </c>
      <c r="K701">
        <f>J701+L701</f>
        <v>1</v>
      </c>
      <c r="L701" s="2">
        <v>0</v>
      </c>
      <c r="M701" s="2">
        <v>1</v>
      </c>
      <c r="N701" s="2">
        <v>0</v>
      </c>
      <c r="O701" s="3">
        <f>N701/J701</f>
        <v>0</v>
      </c>
      <c r="P701" s="2">
        <v>0</v>
      </c>
      <c r="Q701" s="2">
        <v>0</v>
      </c>
      <c r="R701" s="2">
        <v>0</v>
      </c>
      <c r="S701" s="2">
        <v>7</v>
      </c>
      <c r="T701" s="2">
        <v>1</v>
      </c>
      <c r="U701" s="2">
        <v>0</v>
      </c>
      <c r="V701" s="2">
        <v>13</v>
      </c>
      <c r="W701" s="3">
        <f>V701/S701</f>
        <v>1.8571428571428572</v>
      </c>
      <c r="X701" s="3" t="e">
        <f>V701/U701</f>
        <v>#DIV/0!</v>
      </c>
      <c r="Y701" s="4" t="e">
        <f>S701*6/U701</f>
        <v>#DIV/0!</v>
      </c>
      <c r="Z701" s="2">
        <v>0</v>
      </c>
      <c r="AA701" s="2">
        <v>0</v>
      </c>
      <c r="AB701" s="2">
        <v>0</v>
      </c>
      <c r="AC701" s="2">
        <v>0</v>
      </c>
    </row>
    <row r="702" spans="1:29" x14ac:dyDescent="0.35">
      <c r="A702" s="1" t="s">
        <v>749</v>
      </c>
      <c r="B702" s="1" t="s">
        <v>750</v>
      </c>
      <c r="C702">
        <f>D702+E702+F702+G702+H702+I702</f>
        <v>4</v>
      </c>
      <c r="D702" s="2">
        <v>0</v>
      </c>
      <c r="E702" s="2">
        <v>1</v>
      </c>
      <c r="F702" s="2">
        <v>0</v>
      </c>
      <c r="G702" s="2">
        <v>2</v>
      </c>
      <c r="H702" s="2">
        <v>1</v>
      </c>
      <c r="I702" s="2">
        <v>0</v>
      </c>
      <c r="J702" s="2">
        <v>4</v>
      </c>
      <c r="K702">
        <f>J702+L702</f>
        <v>4</v>
      </c>
      <c r="L702" s="2">
        <v>0</v>
      </c>
      <c r="M702" s="2">
        <v>0</v>
      </c>
      <c r="N702" s="2">
        <v>24</v>
      </c>
      <c r="O702" s="3">
        <f>N702/J702</f>
        <v>6</v>
      </c>
      <c r="P702" s="2">
        <v>0</v>
      </c>
      <c r="Q702" s="2">
        <v>0</v>
      </c>
      <c r="R702" s="2">
        <v>14</v>
      </c>
      <c r="S702" s="2">
        <v>1</v>
      </c>
      <c r="T702" s="2">
        <v>0</v>
      </c>
      <c r="U702" s="2">
        <v>0</v>
      </c>
      <c r="V702" s="2">
        <v>11</v>
      </c>
      <c r="W702" s="3">
        <f>V702/S702</f>
        <v>11</v>
      </c>
      <c r="X702" s="3" t="e">
        <f>V702/U702</f>
        <v>#DIV/0!</v>
      </c>
      <c r="Y702" s="4" t="e">
        <f>S702*6/U702</f>
        <v>#DIV/0!</v>
      </c>
      <c r="Z702" s="2">
        <v>0</v>
      </c>
      <c r="AA702" s="2">
        <v>0</v>
      </c>
      <c r="AB702" s="2">
        <v>0</v>
      </c>
      <c r="AC702" s="2">
        <v>0</v>
      </c>
    </row>
    <row r="703" spans="1:29" x14ac:dyDescent="0.35">
      <c r="A703" s="11" t="s">
        <v>1132</v>
      </c>
      <c r="B703" s="11" t="s">
        <v>1133</v>
      </c>
      <c r="C703">
        <f>D703+E703+F703+G703+H703+I703</f>
        <v>13</v>
      </c>
      <c r="D703" s="2">
        <v>0</v>
      </c>
      <c r="E703" s="2">
        <v>0</v>
      </c>
      <c r="F703" s="2">
        <v>12</v>
      </c>
      <c r="G703" s="2">
        <v>1</v>
      </c>
      <c r="H703" s="2">
        <v>0</v>
      </c>
      <c r="I703" s="2">
        <v>0</v>
      </c>
      <c r="J703" s="2">
        <v>8</v>
      </c>
      <c r="K703">
        <f>J703+L703</f>
        <v>10</v>
      </c>
      <c r="L703" s="2">
        <v>2</v>
      </c>
      <c r="M703" s="2">
        <v>3</v>
      </c>
      <c r="N703" s="2">
        <v>173</v>
      </c>
      <c r="O703" s="3">
        <f>N703/J703</f>
        <v>21.625</v>
      </c>
      <c r="P703" s="2">
        <v>0</v>
      </c>
      <c r="Q703" s="2">
        <v>0</v>
      </c>
      <c r="R703" s="2">
        <v>47</v>
      </c>
      <c r="S703" s="11">
        <v>36.200000000000003</v>
      </c>
      <c r="T703" s="11">
        <v>3</v>
      </c>
      <c r="U703" s="11">
        <v>7</v>
      </c>
      <c r="V703" s="11">
        <v>170</v>
      </c>
      <c r="W703" s="3">
        <f>145/32.2</f>
        <v>4.5031055900621118</v>
      </c>
      <c r="X703" s="3">
        <v>20.71</v>
      </c>
      <c r="Y703" s="4">
        <v>27.71</v>
      </c>
      <c r="Z703" s="11" t="s">
        <v>1134</v>
      </c>
      <c r="AA703" s="2">
        <v>0</v>
      </c>
      <c r="AB703" s="2">
        <v>0</v>
      </c>
      <c r="AC703" s="2">
        <v>4</v>
      </c>
    </row>
    <row r="704" spans="1:29" x14ac:dyDescent="0.35">
      <c r="A704" s="34" t="s">
        <v>751</v>
      </c>
      <c r="B704" s="34" t="s">
        <v>752</v>
      </c>
      <c r="C704">
        <f>D704+E704+F704+G704+H704+I704</f>
        <v>117</v>
      </c>
      <c r="D704" s="5">
        <v>0</v>
      </c>
      <c r="E704" s="5">
        <v>50</v>
      </c>
      <c r="F704" s="5">
        <v>9</v>
      </c>
      <c r="G704" s="5">
        <v>28</v>
      </c>
      <c r="H704" s="5">
        <v>20</v>
      </c>
      <c r="I704" s="5">
        <v>10</v>
      </c>
      <c r="J704" s="5">
        <v>140</v>
      </c>
      <c r="K704">
        <f>J704+L704</f>
        <v>153</v>
      </c>
      <c r="L704" s="5">
        <v>13</v>
      </c>
      <c r="M704" s="5">
        <v>11</v>
      </c>
      <c r="N704" s="5">
        <v>3629</v>
      </c>
      <c r="O704" s="3">
        <f>N704/J704</f>
        <v>25.921428571428571</v>
      </c>
      <c r="P704" s="5">
        <v>21</v>
      </c>
      <c r="Q704" s="5">
        <v>4</v>
      </c>
      <c r="R704" s="5">
        <v>173</v>
      </c>
      <c r="S704" s="40">
        <v>26</v>
      </c>
      <c r="T704" s="40">
        <v>1</v>
      </c>
      <c r="U704" s="40">
        <v>5</v>
      </c>
      <c r="V704" s="40">
        <v>186</v>
      </c>
      <c r="W704" s="3">
        <f>V704/S704</f>
        <v>7.1538461538461542</v>
      </c>
      <c r="X704" s="3">
        <f>V704/U704</f>
        <v>37.200000000000003</v>
      </c>
      <c r="Y704" s="4">
        <f>S704*6/U704</f>
        <v>31.2</v>
      </c>
      <c r="Z704" s="40">
        <v>3</v>
      </c>
      <c r="AA704" s="5">
        <v>0</v>
      </c>
      <c r="AB704" s="5">
        <v>0</v>
      </c>
      <c r="AC704" s="5">
        <v>69</v>
      </c>
    </row>
    <row r="705" spans="1:29" x14ac:dyDescent="0.35">
      <c r="A705" s="1" t="s">
        <v>751</v>
      </c>
      <c r="B705" s="1" t="s">
        <v>31</v>
      </c>
      <c r="C705">
        <f>D705+E705+F705+G705+H705+I705</f>
        <v>3</v>
      </c>
      <c r="D705" s="2">
        <v>0</v>
      </c>
      <c r="E705" s="2">
        <v>0</v>
      </c>
      <c r="F705" s="2">
        <v>0</v>
      </c>
      <c r="G705" s="2">
        <v>1</v>
      </c>
      <c r="H705" s="2">
        <v>0</v>
      </c>
      <c r="I705" s="2">
        <v>2</v>
      </c>
      <c r="J705" s="2">
        <v>2</v>
      </c>
      <c r="K705">
        <f>J705+L705</f>
        <v>2</v>
      </c>
      <c r="L705" s="2">
        <v>0</v>
      </c>
      <c r="M705" s="2">
        <v>1</v>
      </c>
      <c r="N705" s="2">
        <v>21</v>
      </c>
      <c r="O705" s="3">
        <f>N705/J705</f>
        <v>10.5</v>
      </c>
      <c r="P705" s="2">
        <v>0</v>
      </c>
      <c r="Q705" s="2">
        <v>0</v>
      </c>
      <c r="R705" s="2">
        <v>13</v>
      </c>
      <c r="S705" s="2">
        <v>2</v>
      </c>
      <c r="T705" s="2">
        <v>0</v>
      </c>
      <c r="U705" s="2">
        <v>0</v>
      </c>
      <c r="V705" s="2">
        <v>30</v>
      </c>
      <c r="W705" s="3">
        <f>V705/S705</f>
        <v>15</v>
      </c>
      <c r="X705" s="3" t="e">
        <f>V705/U705</f>
        <v>#DIV/0!</v>
      </c>
      <c r="Y705" s="4" t="e">
        <f>S705*6/U705</f>
        <v>#DIV/0!</v>
      </c>
      <c r="Z705" s="2">
        <v>0</v>
      </c>
      <c r="AA705" s="2">
        <v>0</v>
      </c>
      <c r="AB705" s="2">
        <v>0</v>
      </c>
      <c r="AC705" s="2">
        <v>1</v>
      </c>
    </row>
    <row r="706" spans="1:29" x14ac:dyDescent="0.35">
      <c r="A706" s="1" t="s">
        <v>753</v>
      </c>
      <c r="B706" s="1" t="s">
        <v>754</v>
      </c>
      <c r="C706">
        <f>D706+E706+F706+G706+H706+I706</f>
        <v>4</v>
      </c>
      <c r="D706" s="2">
        <v>0</v>
      </c>
      <c r="E706" s="2">
        <v>0</v>
      </c>
      <c r="F706" s="2">
        <v>0</v>
      </c>
      <c r="G706" s="2">
        <v>3</v>
      </c>
      <c r="H706" s="2">
        <v>1</v>
      </c>
      <c r="I706" s="2">
        <v>0</v>
      </c>
      <c r="J706" s="2">
        <v>4</v>
      </c>
      <c r="K706">
        <f>J706+L706</f>
        <v>4</v>
      </c>
      <c r="L706" s="2">
        <v>0</v>
      </c>
      <c r="M706" s="2">
        <v>0</v>
      </c>
      <c r="N706" s="2">
        <v>20</v>
      </c>
      <c r="O706" s="3">
        <f>N706/J706</f>
        <v>5</v>
      </c>
      <c r="P706" s="2">
        <v>0</v>
      </c>
      <c r="Q706" s="2">
        <v>0</v>
      </c>
      <c r="R706" s="2">
        <v>12</v>
      </c>
      <c r="S706" s="2">
        <v>17</v>
      </c>
      <c r="T706" s="2">
        <v>2</v>
      </c>
      <c r="U706" s="2">
        <v>2</v>
      </c>
      <c r="V706" s="2">
        <v>52</v>
      </c>
      <c r="W706" s="3">
        <f>V706/S706</f>
        <v>3.0588235294117645</v>
      </c>
      <c r="X706" s="3">
        <f>V706/U706</f>
        <v>26</v>
      </c>
      <c r="Y706" s="4">
        <f>S706*6/U706</f>
        <v>51</v>
      </c>
      <c r="Z706" s="2">
        <v>2</v>
      </c>
      <c r="AA706" s="2">
        <v>0</v>
      </c>
      <c r="AB706" s="2">
        <v>0</v>
      </c>
      <c r="AC706" s="2">
        <v>0</v>
      </c>
    </row>
    <row r="707" spans="1:29" x14ac:dyDescent="0.35">
      <c r="A707" s="15" t="s">
        <v>755</v>
      </c>
      <c r="B707" s="15" t="s">
        <v>756</v>
      </c>
      <c r="C707" s="18">
        <f>D707+E707+F707+G707+H707+I707</f>
        <v>49</v>
      </c>
      <c r="D707" s="16">
        <v>2</v>
      </c>
      <c r="E707" s="16">
        <v>15</v>
      </c>
      <c r="F707" s="16">
        <v>25</v>
      </c>
      <c r="G707" s="16">
        <v>5</v>
      </c>
      <c r="H707" s="16">
        <v>2</v>
      </c>
      <c r="I707" s="16">
        <v>0</v>
      </c>
      <c r="J707" s="16">
        <v>32</v>
      </c>
      <c r="K707" s="18">
        <f>J707+L707</f>
        <v>37</v>
      </c>
      <c r="L707" s="16">
        <v>5</v>
      </c>
      <c r="M707" s="16">
        <v>16</v>
      </c>
      <c r="N707" s="16">
        <f>404+56</f>
        <v>460</v>
      </c>
      <c r="O707" s="19">
        <f>N707/J707</f>
        <v>14.375</v>
      </c>
      <c r="P707" s="16">
        <v>0</v>
      </c>
      <c r="Q707" s="16">
        <v>0</v>
      </c>
      <c r="R707" s="16">
        <v>47</v>
      </c>
      <c r="S707" s="16">
        <v>180</v>
      </c>
      <c r="T707" s="16">
        <v>21</v>
      </c>
      <c r="U707" s="16">
        <v>38</v>
      </c>
      <c r="V707" s="16">
        <f>1147+21</f>
        <v>1168</v>
      </c>
      <c r="W707" s="19">
        <f>V707/S707</f>
        <v>6.4888888888888889</v>
      </c>
      <c r="X707" s="19">
        <f>V707/U707</f>
        <v>30.736842105263158</v>
      </c>
      <c r="Y707" s="20">
        <f>S707*6/U707</f>
        <v>28.421052631578949</v>
      </c>
      <c r="Z707" s="16" t="s">
        <v>1373</v>
      </c>
      <c r="AA707" s="16">
        <v>0</v>
      </c>
      <c r="AB707" s="16">
        <v>0</v>
      </c>
      <c r="AC707" s="16">
        <v>6</v>
      </c>
    </row>
    <row r="708" spans="1:29" x14ac:dyDescent="0.35">
      <c r="A708" s="1" t="s">
        <v>757</v>
      </c>
      <c r="B708" s="1" t="s">
        <v>146</v>
      </c>
      <c r="C708">
        <f>D708+E708+F708+G708+H708+I708</f>
        <v>7</v>
      </c>
      <c r="D708" s="2">
        <v>0</v>
      </c>
      <c r="E708" s="2">
        <v>2</v>
      </c>
      <c r="F708" s="2">
        <v>5</v>
      </c>
      <c r="G708" s="2">
        <v>0</v>
      </c>
      <c r="H708" s="2">
        <v>0</v>
      </c>
      <c r="I708" s="2">
        <v>0</v>
      </c>
      <c r="J708" s="2">
        <v>9</v>
      </c>
      <c r="K708">
        <f>J708+L708</f>
        <v>9</v>
      </c>
      <c r="L708" s="2">
        <v>0</v>
      </c>
      <c r="M708" s="2">
        <v>0</v>
      </c>
      <c r="N708" s="2">
        <v>167</v>
      </c>
      <c r="O708" s="3">
        <f>N708/J708</f>
        <v>18.555555555555557</v>
      </c>
      <c r="P708" s="2">
        <v>0</v>
      </c>
      <c r="Q708" s="2">
        <v>0</v>
      </c>
      <c r="R708" s="2">
        <v>36</v>
      </c>
      <c r="S708" s="2">
        <v>0</v>
      </c>
      <c r="T708" s="2">
        <v>0</v>
      </c>
      <c r="U708" s="2">
        <v>0</v>
      </c>
      <c r="V708" s="2">
        <v>0</v>
      </c>
      <c r="W708" s="3" t="e">
        <f>V708/S708</f>
        <v>#DIV/0!</v>
      </c>
      <c r="X708" s="3" t="e">
        <f>V708/U708</f>
        <v>#DIV/0!</v>
      </c>
      <c r="Y708" s="4" t="e">
        <f>S708*6/U708</f>
        <v>#DIV/0!</v>
      </c>
      <c r="Z708" s="2">
        <v>0</v>
      </c>
      <c r="AA708" s="2">
        <v>0</v>
      </c>
      <c r="AB708" s="2">
        <v>0</v>
      </c>
      <c r="AC708" s="2">
        <v>6</v>
      </c>
    </row>
    <row r="709" spans="1:29" x14ac:dyDescent="0.35">
      <c r="A709" s="1" t="s">
        <v>757</v>
      </c>
      <c r="B709" s="1" t="s">
        <v>583</v>
      </c>
      <c r="C709">
        <f>D709+E709+F709+G709+H709+I709</f>
        <v>18</v>
      </c>
      <c r="D709" s="2">
        <v>3</v>
      </c>
      <c r="E709" s="2">
        <v>3</v>
      </c>
      <c r="F709" s="2">
        <v>7</v>
      </c>
      <c r="G709" s="2">
        <v>5</v>
      </c>
      <c r="H709" s="2">
        <v>0</v>
      </c>
      <c r="I709" s="2">
        <v>0</v>
      </c>
      <c r="J709" s="2">
        <v>16</v>
      </c>
      <c r="K709">
        <f>J709+L709</f>
        <v>19</v>
      </c>
      <c r="L709" s="2">
        <v>3</v>
      </c>
      <c r="M709" s="2">
        <v>4</v>
      </c>
      <c r="N709" s="2">
        <v>175</v>
      </c>
      <c r="O709" s="3">
        <f>N709/J709</f>
        <v>10.9375</v>
      </c>
      <c r="P709" s="2">
        <v>0</v>
      </c>
      <c r="Q709" s="2">
        <v>0</v>
      </c>
      <c r="R709" s="2">
        <v>49</v>
      </c>
      <c r="S709" s="2">
        <v>193</v>
      </c>
      <c r="T709" s="2">
        <v>42</v>
      </c>
      <c r="U709" s="2">
        <v>20</v>
      </c>
      <c r="V709" s="2">
        <v>541</v>
      </c>
      <c r="W709" s="3">
        <f>V709/S709</f>
        <v>2.8031088082901556</v>
      </c>
      <c r="X709" s="3">
        <f>V709/U709</f>
        <v>27.05</v>
      </c>
      <c r="Y709" s="4">
        <f>S709*6/U709</f>
        <v>57.9</v>
      </c>
      <c r="Z709" s="2">
        <v>3</v>
      </c>
      <c r="AA709" s="2">
        <v>0</v>
      </c>
      <c r="AB709" s="2">
        <v>0</v>
      </c>
      <c r="AC709" s="2">
        <v>2</v>
      </c>
    </row>
    <row r="710" spans="1:29" x14ac:dyDescent="0.35">
      <c r="A710" s="1" t="s">
        <v>758</v>
      </c>
      <c r="B710" s="1" t="s">
        <v>760</v>
      </c>
      <c r="C710">
        <f>D710+E710+F710+G710+H710+I710</f>
        <v>159</v>
      </c>
      <c r="D710" s="2">
        <v>73</v>
      </c>
      <c r="E710" s="2">
        <v>80</v>
      </c>
      <c r="F710" s="2">
        <v>1</v>
      </c>
      <c r="G710" s="2">
        <v>2</v>
      </c>
      <c r="H710" s="2">
        <v>1</v>
      </c>
      <c r="I710" s="2">
        <v>2</v>
      </c>
      <c r="J710" s="2">
        <v>134</v>
      </c>
      <c r="K710">
        <f>J710+L710</f>
        <v>152</v>
      </c>
      <c r="L710" s="2">
        <v>18</v>
      </c>
      <c r="M710" s="2">
        <v>13</v>
      </c>
      <c r="N710" s="2">
        <v>3471</v>
      </c>
      <c r="O710" s="3">
        <f>N710/J710</f>
        <v>25.902985074626866</v>
      </c>
      <c r="P710" s="2">
        <v>14</v>
      </c>
      <c r="Q710" s="2">
        <v>2</v>
      </c>
      <c r="R710" s="2">
        <v>111</v>
      </c>
      <c r="S710" s="2">
        <v>245</v>
      </c>
      <c r="T710" s="2">
        <v>61</v>
      </c>
      <c r="U710" s="2">
        <v>48</v>
      </c>
      <c r="V710" s="2">
        <v>722</v>
      </c>
      <c r="W710" s="3">
        <f>V710/S710</f>
        <v>2.9469387755102039</v>
      </c>
      <c r="X710" s="3">
        <f>V710/U710</f>
        <v>15.041666666666666</v>
      </c>
      <c r="Y710" s="4">
        <f>S710*6/U710</f>
        <v>30.625</v>
      </c>
      <c r="Z710" s="2">
        <v>7</v>
      </c>
      <c r="AA710" s="2">
        <v>4</v>
      </c>
      <c r="AB710" s="2">
        <v>0</v>
      </c>
      <c r="AC710" s="2">
        <v>56</v>
      </c>
    </row>
    <row r="711" spans="1:29" x14ac:dyDescent="0.35">
      <c r="A711" s="1" t="s">
        <v>758</v>
      </c>
      <c r="B711" s="1" t="s">
        <v>759</v>
      </c>
      <c r="C711">
        <f>D711+E711+F711+G711+H711+I711</f>
        <v>26</v>
      </c>
      <c r="D711" s="2">
        <v>12</v>
      </c>
      <c r="E711" s="2">
        <v>14</v>
      </c>
      <c r="F711" s="2">
        <v>0</v>
      </c>
      <c r="G711" s="2">
        <v>0</v>
      </c>
      <c r="H711" s="2">
        <v>0</v>
      </c>
      <c r="I711" s="2">
        <v>0</v>
      </c>
      <c r="J711" s="2">
        <v>19</v>
      </c>
      <c r="K711">
        <f>J711+L711</f>
        <v>24</v>
      </c>
      <c r="L711" s="2">
        <v>5</v>
      </c>
      <c r="M711" s="2">
        <v>2</v>
      </c>
      <c r="N711" s="2">
        <v>273</v>
      </c>
      <c r="O711" s="3">
        <f>N711/J711</f>
        <v>14.368421052631579</v>
      </c>
      <c r="P711" s="2">
        <v>0</v>
      </c>
      <c r="Q711" s="2">
        <v>0</v>
      </c>
      <c r="R711" s="2">
        <v>45</v>
      </c>
      <c r="S711" s="2">
        <v>16</v>
      </c>
      <c r="T711" s="2">
        <v>3</v>
      </c>
      <c r="U711" s="2">
        <v>0</v>
      </c>
      <c r="V711" s="2">
        <v>59</v>
      </c>
      <c r="W711" s="3">
        <f>V711/S711</f>
        <v>3.6875</v>
      </c>
      <c r="X711" s="3" t="e">
        <f>V711/U711</f>
        <v>#DIV/0!</v>
      </c>
      <c r="Y711" s="4" t="e">
        <f>S711*6/U711</f>
        <v>#DIV/0!</v>
      </c>
      <c r="Z711" s="2">
        <v>0</v>
      </c>
      <c r="AA711" s="2">
        <v>0</v>
      </c>
      <c r="AB711" s="2">
        <v>0</v>
      </c>
      <c r="AC711" s="2">
        <v>5</v>
      </c>
    </row>
    <row r="712" spans="1:29" x14ac:dyDescent="0.35">
      <c r="A712" s="1" t="s">
        <v>758</v>
      </c>
      <c r="B712" s="1" t="s">
        <v>685</v>
      </c>
      <c r="C712">
        <f>D712+E712+F712+G712+H712+I712</f>
        <v>16</v>
      </c>
      <c r="D712" s="2">
        <v>0</v>
      </c>
      <c r="E712" s="2">
        <v>16</v>
      </c>
      <c r="F712" s="2">
        <v>0</v>
      </c>
      <c r="G712" s="2">
        <v>0</v>
      </c>
      <c r="H712" s="2">
        <v>0</v>
      </c>
      <c r="I712" s="2">
        <v>0</v>
      </c>
      <c r="J712" s="2">
        <v>16</v>
      </c>
      <c r="K712">
        <f>J712+L712</f>
        <v>16</v>
      </c>
      <c r="L712" s="2">
        <v>0</v>
      </c>
      <c r="M712" s="2">
        <v>0</v>
      </c>
      <c r="N712" s="2">
        <v>249</v>
      </c>
      <c r="O712" s="3">
        <f>N712/J712</f>
        <v>15.5625</v>
      </c>
      <c r="P712" s="2">
        <v>1</v>
      </c>
      <c r="Q712" s="2">
        <v>0</v>
      </c>
      <c r="R712" s="2">
        <v>52</v>
      </c>
      <c r="S712" s="2">
        <v>0</v>
      </c>
      <c r="T712" s="2">
        <v>0</v>
      </c>
      <c r="U712" s="2">
        <v>0</v>
      </c>
      <c r="V712" s="2">
        <v>0</v>
      </c>
      <c r="W712" s="3" t="e">
        <f>V712/S712</f>
        <v>#DIV/0!</v>
      </c>
      <c r="X712" s="3" t="e">
        <f>V712/U712</f>
        <v>#DIV/0!</v>
      </c>
      <c r="Y712" s="4" t="e">
        <f>S712*6/U712</f>
        <v>#DIV/0!</v>
      </c>
      <c r="Z712" s="2">
        <v>0</v>
      </c>
      <c r="AA712" s="2">
        <v>0</v>
      </c>
      <c r="AB712" s="2">
        <v>0</v>
      </c>
      <c r="AC712" s="2">
        <v>4</v>
      </c>
    </row>
    <row r="713" spans="1:29" x14ac:dyDescent="0.35">
      <c r="A713" s="1" t="s">
        <v>761</v>
      </c>
      <c r="B713" s="1" t="s">
        <v>77</v>
      </c>
      <c r="C713">
        <f>D713+E713+F713+G713+H713+I713</f>
        <v>3</v>
      </c>
      <c r="D713" s="2">
        <v>0</v>
      </c>
      <c r="E713" s="2">
        <v>3</v>
      </c>
      <c r="F713" s="2">
        <v>0</v>
      </c>
      <c r="G713" s="2">
        <v>0</v>
      </c>
      <c r="H713" s="2">
        <v>0</v>
      </c>
      <c r="I713" s="2">
        <v>0</v>
      </c>
      <c r="J713" s="2">
        <v>2</v>
      </c>
      <c r="K713">
        <f>J713+L713</f>
        <v>2</v>
      </c>
      <c r="L713" s="2">
        <v>0</v>
      </c>
      <c r="M713" s="2">
        <v>2</v>
      </c>
      <c r="N713" s="2">
        <v>0</v>
      </c>
      <c r="O713" s="3">
        <f>N713/J713</f>
        <v>0</v>
      </c>
      <c r="P713" s="2">
        <v>0</v>
      </c>
      <c r="Q713" s="2">
        <v>0</v>
      </c>
      <c r="R713" s="2">
        <v>0</v>
      </c>
      <c r="S713" s="2">
        <v>5</v>
      </c>
      <c r="T713" s="2">
        <v>0</v>
      </c>
      <c r="U713" s="2">
        <v>0</v>
      </c>
      <c r="V713" s="2">
        <v>42</v>
      </c>
      <c r="W713" s="3">
        <f>V713/S713</f>
        <v>8.4</v>
      </c>
      <c r="X713" s="3" t="e">
        <f>V713/U713</f>
        <v>#DIV/0!</v>
      </c>
      <c r="Y713" s="4" t="e">
        <f>S713*6/U713</f>
        <v>#DIV/0!</v>
      </c>
      <c r="Z713" s="2">
        <v>0</v>
      </c>
      <c r="AA713" s="2">
        <v>0</v>
      </c>
      <c r="AB713" s="2">
        <v>0</v>
      </c>
      <c r="AC713" s="2">
        <v>0</v>
      </c>
    </row>
    <row r="714" spans="1:29" x14ac:dyDescent="0.35">
      <c r="A714" s="1" t="s">
        <v>761</v>
      </c>
      <c r="B714" s="1" t="s">
        <v>24</v>
      </c>
      <c r="C714">
        <f>D714+E714+F714+G714+H714+I714</f>
        <v>1</v>
      </c>
      <c r="D714" s="2">
        <v>0</v>
      </c>
      <c r="E714" s="2">
        <v>1</v>
      </c>
      <c r="F714" s="2">
        <v>0</v>
      </c>
      <c r="G714" s="2">
        <v>0</v>
      </c>
      <c r="H714" s="2">
        <v>0</v>
      </c>
      <c r="I714" s="2">
        <v>0</v>
      </c>
      <c r="J714" s="2">
        <v>1</v>
      </c>
      <c r="K714">
        <f>J714+L714</f>
        <v>1</v>
      </c>
      <c r="L714" s="2">
        <v>0</v>
      </c>
      <c r="M714" s="2">
        <v>0</v>
      </c>
      <c r="N714" s="2">
        <v>0</v>
      </c>
      <c r="O714" s="3">
        <f>N714/J714</f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>
        <v>0</v>
      </c>
      <c r="V714" s="2">
        <v>0</v>
      </c>
      <c r="W714" s="3" t="e">
        <f>V714/S714</f>
        <v>#DIV/0!</v>
      </c>
      <c r="X714" s="3" t="e">
        <f>V714/U714</f>
        <v>#DIV/0!</v>
      </c>
      <c r="Y714" s="4" t="e">
        <f>S714*6/U714</f>
        <v>#DIV/0!</v>
      </c>
      <c r="Z714" s="2">
        <v>0</v>
      </c>
      <c r="AA714" s="2">
        <v>0</v>
      </c>
      <c r="AB714" s="2">
        <v>0</v>
      </c>
      <c r="AC714" s="2">
        <v>0</v>
      </c>
    </row>
    <row r="715" spans="1:29" x14ac:dyDescent="0.35">
      <c r="A715" s="1" t="s">
        <v>762</v>
      </c>
      <c r="B715" s="1" t="s">
        <v>763</v>
      </c>
      <c r="C715">
        <f>D715+E715+F715+G715+H715+I715</f>
        <v>31</v>
      </c>
      <c r="D715" s="2">
        <v>28</v>
      </c>
      <c r="E715" s="2">
        <v>3</v>
      </c>
      <c r="F715" s="2">
        <v>0</v>
      </c>
      <c r="G715" s="2">
        <v>0</v>
      </c>
      <c r="H715" s="2">
        <v>0</v>
      </c>
      <c r="I715" s="2">
        <v>0</v>
      </c>
      <c r="J715" s="2">
        <v>26</v>
      </c>
      <c r="K715">
        <f>J715+L715</f>
        <v>26</v>
      </c>
      <c r="L715" s="2">
        <v>0</v>
      </c>
      <c r="M715" s="2">
        <v>7</v>
      </c>
      <c r="N715" s="2">
        <v>644</v>
      </c>
      <c r="O715" s="3">
        <f>N715/J715</f>
        <v>24.76923076923077</v>
      </c>
      <c r="P715" s="2">
        <v>2</v>
      </c>
      <c r="Q715" s="2">
        <v>1</v>
      </c>
      <c r="R715" s="2">
        <v>143</v>
      </c>
      <c r="S715" s="2">
        <v>423</v>
      </c>
      <c r="T715" s="2">
        <v>104</v>
      </c>
      <c r="U715" s="2">
        <v>74</v>
      </c>
      <c r="V715" s="2">
        <v>1106</v>
      </c>
      <c r="W715" s="3">
        <f>V715/S715</f>
        <v>2.6146572104018913</v>
      </c>
      <c r="X715" s="3">
        <f>V715/U715</f>
        <v>14.945945945945946</v>
      </c>
      <c r="Y715" s="4">
        <f>S715*6/U715</f>
        <v>34.297297297297298</v>
      </c>
      <c r="Z715" s="2">
        <v>7</v>
      </c>
      <c r="AA715" s="2">
        <v>4</v>
      </c>
      <c r="AB715" s="2">
        <v>0</v>
      </c>
      <c r="AC715" s="2">
        <v>6</v>
      </c>
    </row>
    <row r="716" spans="1:29" x14ac:dyDescent="0.35">
      <c r="A716" s="1" t="s">
        <v>764</v>
      </c>
      <c r="B716" s="1" t="s">
        <v>521</v>
      </c>
      <c r="C716">
        <f>D716+E716+F716+G716+H716+I716</f>
        <v>23</v>
      </c>
      <c r="D716" s="2">
        <v>0</v>
      </c>
      <c r="E716" s="2">
        <v>0</v>
      </c>
      <c r="F716" s="2">
        <v>2</v>
      </c>
      <c r="G716" s="2">
        <v>21</v>
      </c>
      <c r="H716" s="2">
        <v>0</v>
      </c>
      <c r="I716" s="2">
        <v>0</v>
      </c>
      <c r="J716" s="2">
        <v>21</v>
      </c>
      <c r="K716">
        <f>J716+L716</f>
        <v>21</v>
      </c>
      <c r="L716" s="2">
        <v>0</v>
      </c>
      <c r="M716" s="2">
        <v>2</v>
      </c>
      <c r="N716" s="2">
        <v>362</v>
      </c>
      <c r="O716" s="3">
        <f>N716/J716</f>
        <v>17.238095238095237</v>
      </c>
      <c r="P716" s="2">
        <v>2</v>
      </c>
      <c r="Q716" s="2">
        <v>0</v>
      </c>
      <c r="R716" s="2">
        <v>64</v>
      </c>
      <c r="S716" s="2">
        <v>146</v>
      </c>
      <c r="T716" s="2">
        <v>6</v>
      </c>
      <c r="U716" s="2">
        <v>34</v>
      </c>
      <c r="V716" s="2">
        <v>691</v>
      </c>
      <c r="W716" s="3">
        <f>V716/S716</f>
        <v>4.7328767123287667</v>
      </c>
      <c r="X716" s="3">
        <f>V716/U716</f>
        <v>20.323529411764707</v>
      </c>
      <c r="Y716" s="4">
        <f>S716*6/U716</f>
        <v>25.764705882352942</v>
      </c>
      <c r="Z716" s="2">
        <v>4</v>
      </c>
      <c r="AA716" s="2">
        <v>0</v>
      </c>
      <c r="AB716" s="2">
        <v>0</v>
      </c>
      <c r="AC716" s="2">
        <v>4</v>
      </c>
    </row>
    <row r="717" spans="1:29" x14ac:dyDescent="0.35">
      <c r="A717" s="1" t="s">
        <v>765</v>
      </c>
      <c r="B717" s="1" t="s">
        <v>381</v>
      </c>
      <c r="C717">
        <f>D717+E717+F717+G717+H717+I717</f>
        <v>2</v>
      </c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2</v>
      </c>
      <c r="J717" s="2">
        <v>1</v>
      </c>
      <c r="K717">
        <f>J717+L717</f>
        <v>1</v>
      </c>
      <c r="L717" s="2">
        <v>0</v>
      </c>
      <c r="M717" s="2">
        <v>1</v>
      </c>
      <c r="N717" s="2">
        <v>32</v>
      </c>
      <c r="O717" s="3">
        <f>N717/J717</f>
        <v>32</v>
      </c>
      <c r="P717" s="2">
        <v>0</v>
      </c>
      <c r="Q717" s="2">
        <v>0</v>
      </c>
      <c r="R717" s="2">
        <v>32</v>
      </c>
      <c r="S717" s="2">
        <v>3</v>
      </c>
      <c r="T717" s="2">
        <v>0</v>
      </c>
      <c r="U717" s="2">
        <v>0</v>
      </c>
      <c r="V717" s="2">
        <v>10</v>
      </c>
      <c r="W717" s="3">
        <f>V717/S717</f>
        <v>3.3333333333333335</v>
      </c>
      <c r="X717" s="3" t="e">
        <f>V717/U717</f>
        <v>#DIV/0!</v>
      </c>
      <c r="Y717" s="4" t="e">
        <f>S717*6/U717</f>
        <v>#DIV/0!</v>
      </c>
      <c r="Z717" s="2">
        <v>0</v>
      </c>
      <c r="AA717" s="2">
        <v>0</v>
      </c>
      <c r="AB717" s="2">
        <v>0</v>
      </c>
      <c r="AC717" s="2">
        <v>0</v>
      </c>
    </row>
    <row r="718" spans="1:29" x14ac:dyDescent="0.35">
      <c r="A718" s="1" t="s">
        <v>766</v>
      </c>
      <c r="B718" s="1" t="s">
        <v>321</v>
      </c>
      <c r="C718">
        <f>D718+E718+F718+G718+H718+I718</f>
        <v>10</v>
      </c>
      <c r="D718" s="2">
        <v>0</v>
      </c>
      <c r="E718" s="2">
        <v>0</v>
      </c>
      <c r="F718" s="2">
        <v>0</v>
      </c>
      <c r="G718" s="2">
        <v>0</v>
      </c>
      <c r="H718" s="2">
        <v>7</v>
      </c>
      <c r="I718" s="2">
        <v>3</v>
      </c>
      <c r="J718" s="2">
        <v>9</v>
      </c>
      <c r="K718">
        <f>J718+L718</f>
        <v>11</v>
      </c>
      <c r="L718" s="2">
        <v>2</v>
      </c>
      <c r="M718" s="2">
        <v>1</v>
      </c>
      <c r="N718" s="2">
        <v>129</v>
      </c>
      <c r="O718" s="3">
        <f>N718/J718</f>
        <v>14.333333333333334</v>
      </c>
      <c r="P718" s="2">
        <v>1</v>
      </c>
      <c r="Q718" s="2">
        <v>0</v>
      </c>
      <c r="R718" s="2">
        <v>51</v>
      </c>
      <c r="S718" s="2">
        <v>18</v>
      </c>
      <c r="T718" s="2">
        <v>1</v>
      </c>
      <c r="U718" s="2">
        <v>0</v>
      </c>
      <c r="V718" s="2">
        <v>102</v>
      </c>
      <c r="W718" s="3">
        <f>V718/S718</f>
        <v>5.666666666666667</v>
      </c>
      <c r="X718" s="3" t="e">
        <f>V718/U718</f>
        <v>#DIV/0!</v>
      </c>
      <c r="Y718" s="4" t="e">
        <f>S718*6/U718</f>
        <v>#DIV/0!</v>
      </c>
      <c r="Z718" s="2">
        <v>0</v>
      </c>
      <c r="AA718" s="2">
        <v>0</v>
      </c>
      <c r="AB718" s="2">
        <v>0</v>
      </c>
      <c r="AC718" s="2">
        <v>1</v>
      </c>
    </row>
    <row r="719" spans="1:29" x14ac:dyDescent="0.35">
      <c r="A719" s="1" t="s">
        <v>766</v>
      </c>
      <c r="B719" s="1" t="s">
        <v>360</v>
      </c>
      <c r="C719">
        <f>D719+E719+F719+G719+H719+I719</f>
        <v>2</v>
      </c>
      <c r="D719" s="2">
        <v>0</v>
      </c>
      <c r="E719" s="2">
        <v>0</v>
      </c>
      <c r="F719" s="2">
        <v>0</v>
      </c>
      <c r="G719" s="2">
        <v>0</v>
      </c>
      <c r="H719" s="2">
        <v>2</v>
      </c>
      <c r="I719" s="2">
        <v>0</v>
      </c>
      <c r="J719" s="2">
        <v>2</v>
      </c>
      <c r="K719">
        <f>J719+L719</f>
        <v>2</v>
      </c>
      <c r="L719" s="2">
        <v>0</v>
      </c>
      <c r="M719" s="2">
        <v>0</v>
      </c>
      <c r="N719" s="2">
        <v>33</v>
      </c>
      <c r="O719" s="3">
        <f>N719/J719</f>
        <v>16.5</v>
      </c>
      <c r="P719" s="2">
        <v>0</v>
      </c>
      <c r="Q719" s="2">
        <v>0</v>
      </c>
      <c r="R719" s="2">
        <v>23</v>
      </c>
      <c r="S719" s="2">
        <v>7</v>
      </c>
      <c r="T719" s="2">
        <v>0</v>
      </c>
      <c r="U719" s="2">
        <v>1</v>
      </c>
      <c r="V719" s="2">
        <v>40</v>
      </c>
      <c r="W719" s="3">
        <f>V719/S719</f>
        <v>5.7142857142857144</v>
      </c>
      <c r="X719" s="3">
        <f>V719/U719</f>
        <v>40</v>
      </c>
      <c r="Y719" s="4">
        <f>S719*6/U719</f>
        <v>42</v>
      </c>
      <c r="Z719" s="2">
        <v>1</v>
      </c>
      <c r="AA719" s="2">
        <v>0</v>
      </c>
      <c r="AB719" s="2">
        <v>0</v>
      </c>
      <c r="AC719" s="2">
        <v>0</v>
      </c>
    </row>
    <row r="720" spans="1:29" x14ac:dyDescent="0.35">
      <c r="A720" s="1" t="s">
        <v>767</v>
      </c>
      <c r="B720" s="1" t="s">
        <v>18</v>
      </c>
      <c r="C720">
        <f>D720+E720+F720+G720+H720+I720</f>
        <v>16</v>
      </c>
      <c r="D720" s="2">
        <v>0</v>
      </c>
      <c r="E720" s="2">
        <v>0</v>
      </c>
      <c r="F720" s="2">
        <v>0</v>
      </c>
      <c r="G720" s="2">
        <v>6</v>
      </c>
      <c r="H720" s="2">
        <v>5</v>
      </c>
      <c r="I720" s="2">
        <v>5</v>
      </c>
      <c r="J720" s="2">
        <v>14</v>
      </c>
      <c r="K720">
        <f>J720+L720</f>
        <v>15</v>
      </c>
      <c r="L720" s="2">
        <v>1</v>
      </c>
      <c r="M720" s="2">
        <v>2</v>
      </c>
      <c r="N720" s="2">
        <v>143</v>
      </c>
      <c r="O720" s="3">
        <f>N720/J720</f>
        <v>10.214285714285714</v>
      </c>
      <c r="P720" s="2">
        <v>1</v>
      </c>
      <c r="Q720" s="2">
        <v>0</v>
      </c>
      <c r="R720" s="2">
        <v>54</v>
      </c>
      <c r="S720" s="2">
        <v>5</v>
      </c>
      <c r="T720" s="2">
        <v>0</v>
      </c>
      <c r="U720" s="2">
        <v>1</v>
      </c>
      <c r="V720" s="2">
        <v>27</v>
      </c>
      <c r="W720" s="3">
        <f>V720/S720</f>
        <v>5.4</v>
      </c>
      <c r="X720" s="3">
        <f>V720/U720</f>
        <v>27</v>
      </c>
      <c r="Y720" s="4">
        <f>S720*6/U720</f>
        <v>30</v>
      </c>
      <c r="Z720" s="2">
        <v>1</v>
      </c>
      <c r="AA720" s="2">
        <v>0</v>
      </c>
      <c r="AB720" s="2">
        <v>0</v>
      </c>
      <c r="AC720" s="2">
        <v>8</v>
      </c>
    </row>
    <row r="721" spans="1:29" x14ac:dyDescent="0.35">
      <c r="A721" s="1" t="s">
        <v>767</v>
      </c>
      <c r="B721" s="1" t="s">
        <v>110</v>
      </c>
      <c r="C721">
        <f>D721+E721+F721+G721+H721+I721</f>
        <v>2</v>
      </c>
      <c r="D721" s="2">
        <v>0</v>
      </c>
      <c r="E721" s="2">
        <v>0</v>
      </c>
      <c r="F721" s="2">
        <v>0</v>
      </c>
      <c r="G721" s="2">
        <v>2</v>
      </c>
      <c r="H721" s="2">
        <v>0</v>
      </c>
      <c r="I721" s="2">
        <v>0</v>
      </c>
      <c r="J721" s="2">
        <v>2</v>
      </c>
      <c r="K721">
        <f>J721+L721</f>
        <v>2</v>
      </c>
      <c r="L721" s="2">
        <v>0</v>
      </c>
      <c r="M721" s="2">
        <v>0</v>
      </c>
      <c r="N721" s="2">
        <v>11</v>
      </c>
      <c r="O721" s="3">
        <f>N721/J721</f>
        <v>5.5</v>
      </c>
      <c r="P721" s="2">
        <v>0</v>
      </c>
      <c r="Q721" s="2">
        <v>0</v>
      </c>
      <c r="R721" s="2">
        <v>11</v>
      </c>
      <c r="S721" s="2">
        <v>0</v>
      </c>
      <c r="T721" s="2">
        <v>0</v>
      </c>
      <c r="U721" s="2">
        <v>0</v>
      </c>
      <c r="V721" s="2">
        <v>0</v>
      </c>
      <c r="W721" s="3" t="e">
        <f>V721/S721</f>
        <v>#DIV/0!</v>
      </c>
      <c r="X721" s="3" t="e">
        <f>V721/U721</f>
        <v>#DIV/0!</v>
      </c>
      <c r="Y721" s="4" t="e">
        <f>S721*6/U721</f>
        <v>#DIV/0!</v>
      </c>
      <c r="Z721" s="2">
        <v>0</v>
      </c>
      <c r="AA721" s="2">
        <v>0</v>
      </c>
      <c r="AB721" s="2">
        <v>0</v>
      </c>
      <c r="AC721" s="2">
        <v>2</v>
      </c>
    </row>
    <row r="722" spans="1:29" x14ac:dyDescent="0.35">
      <c r="A722" s="1" t="s">
        <v>768</v>
      </c>
      <c r="B722" s="1" t="s">
        <v>226</v>
      </c>
      <c r="C722">
        <f>D722+E722+F722+G722+H722+I722</f>
        <v>21</v>
      </c>
      <c r="D722" s="2">
        <v>0</v>
      </c>
      <c r="E722" s="2">
        <v>1</v>
      </c>
      <c r="F722" s="2">
        <v>10</v>
      </c>
      <c r="G722" s="2">
        <v>6</v>
      </c>
      <c r="H722" s="2">
        <v>4</v>
      </c>
      <c r="I722" s="2">
        <v>0</v>
      </c>
      <c r="J722" s="2">
        <v>29</v>
      </c>
      <c r="K722">
        <f>J722+L722</f>
        <v>33</v>
      </c>
      <c r="L722" s="2">
        <v>4</v>
      </c>
      <c r="M722" s="2">
        <v>5</v>
      </c>
      <c r="N722" s="2">
        <v>309</v>
      </c>
      <c r="O722" s="3">
        <f>N722/J722</f>
        <v>10.655172413793103</v>
      </c>
      <c r="P722" s="2">
        <v>0</v>
      </c>
      <c r="Q722" s="2">
        <v>0</v>
      </c>
      <c r="R722" s="2">
        <v>42</v>
      </c>
      <c r="S722" s="2">
        <v>88</v>
      </c>
      <c r="T722" s="2">
        <v>5</v>
      </c>
      <c r="U722" s="2">
        <v>19</v>
      </c>
      <c r="V722" s="2">
        <v>393</v>
      </c>
      <c r="W722" s="3">
        <f>V722/S722</f>
        <v>4.4659090909090908</v>
      </c>
      <c r="X722" s="3">
        <f>V722/U722</f>
        <v>20.684210526315791</v>
      </c>
      <c r="Y722" s="4">
        <f>S722*6/U722</f>
        <v>27.789473684210527</v>
      </c>
      <c r="Z722" s="2">
        <v>2</v>
      </c>
      <c r="AA722" s="2">
        <v>0</v>
      </c>
      <c r="AB722" s="2">
        <v>0</v>
      </c>
      <c r="AC722" s="2">
        <v>8</v>
      </c>
    </row>
    <row r="723" spans="1:29" x14ac:dyDescent="0.35">
      <c r="A723" s="1" t="s">
        <v>768</v>
      </c>
      <c r="B723" s="1" t="s">
        <v>770</v>
      </c>
      <c r="C723">
        <f>D723+E723+F723+G723+H723+I723</f>
        <v>4</v>
      </c>
      <c r="D723" s="2">
        <v>0</v>
      </c>
      <c r="E723" s="2">
        <v>0</v>
      </c>
      <c r="F723" s="2">
        <v>0</v>
      </c>
      <c r="G723" s="2">
        <v>0</v>
      </c>
      <c r="H723" s="2">
        <v>4</v>
      </c>
      <c r="I723" s="2">
        <v>0</v>
      </c>
      <c r="J723" s="2">
        <v>4</v>
      </c>
      <c r="K723">
        <f>J723+L723</f>
        <v>4</v>
      </c>
      <c r="L723" s="2">
        <v>0</v>
      </c>
      <c r="M723" s="2">
        <v>0</v>
      </c>
      <c r="N723" s="2">
        <v>152</v>
      </c>
      <c r="O723" s="3">
        <f>N723/J723</f>
        <v>38</v>
      </c>
      <c r="P723" s="2">
        <v>2</v>
      </c>
      <c r="Q723" s="2">
        <v>0</v>
      </c>
      <c r="R723" s="2">
        <v>77</v>
      </c>
      <c r="S723" s="2">
        <v>8</v>
      </c>
      <c r="T723" s="2">
        <v>0</v>
      </c>
      <c r="U723" s="2">
        <v>4</v>
      </c>
      <c r="V723" s="2">
        <v>38</v>
      </c>
      <c r="W723" s="3">
        <f>V723/S723</f>
        <v>4.75</v>
      </c>
      <c r="X723" s="3">
        <f>V723/U723</f>
        <v>9.5</v>
      </c>
      <c r="Y723" s="4">
        <f>S723*6/U723</f>
        <v>12</v>
      </c>
      <c r="Z723" s="2">
        <v>4</v>
      </c>
      <c r="AA723" s="2">
        <v>0</v>
      </c>
      <c r="AB723" s="2">
        <v>0</v>
      </c>
      <c r="AC723" s="2">
        <v>0</v>
      </c>
    </row>
    <row r="724" spans="1:29" x14ac:dyDescent="0.35">
      <c r="A724" s="1" t="s">
        <v>768</v>
      </c>
      <c r="B724" s="1" t="s">
        <v>769</v>
      </c>
      <c r="C724">
        <f>D724+E724+F724+G724+H724+I724</f>
        <v>3</v>
      </c>
      <c r="D724" s="2">
        <v>0</v>
      </c>
      <c r="E724" s="2">
        <v>0</v>
      </c>
      <c r="F724" s="2">
        <v>0</v>
      </c>
      <c r="G724" s="2">
        <v>0</v>
      </c>
      <c r="H724" s="2">
        <v>3</v>
      </c>
      <c r="I724" s="2">
        <v>0</v>
      </c>
      <c r="J724" s="2">
        <v>3</v>
      </c>
      <c r="K724">
        <f>J724+L724</f>
        <v>3</v>
      </c>
      <c r="L724" s="2">
        <v>0</v>
      </c>
      <c r="M724" s="2">
        <v>0</v>
      </c>
      <c r="N724" s="2">
        <v>5</v>
      </c>
      <c r="O724" s="3">
        <f>N724/J724</f>
        <v>1.6666666666666667</v>
      </c>
      <c r="P724" s="2">
        <v>0</v>
      </c>
      <c r="Q724" s="2">
        <v>0</v>
      </c>
      <c r="R724" s="2">
        <v>4</v>
      </c>
      <c r="S724" s="2">
        <v>16</v>
      </c>
      <c r="T724" s="2">
        <v>0</v>
      </c>
      <c r="U724" s="2">
        <v>4</v>
      </c>
      <c r="V724" s="2">
        <v>74</v>
      </c>
      <c r="W724" s="3">
        <f>V724/S724</f>
        <v>4.625</v>
      </c>
      <c r="X724" s="3">
        <f>V724/U724</f>
        <v>18.5</v>
      </c>
      <c r="Y724" s="4">
        <f>S724*6/U724</f>
        <v>24</v>
      </c>
      <c r="Z724" s="2">
        <v>3</v>
      </c>
      <c r="AA724" s="2">
        <v>0</v>
      </c>
      <c r="AB724" s="2">
        <v>0</v>
      </c>
      <c r="AC724" s="2">
        <v>0</v>
      </c>
    </row>
    <row r="725" spans="1:29" x14ac:dyDescent="0.35">
      <c r="A725" s="1" t="s">
        <v>771</v>
      </c>
      <c r="B725" s="1" t="s">
        <v>174</v>
      </c>
      <c r="C725">
        <f>D725+E725+F725+G725+H725+I725</f>
        <v>1</v>
      </c>
      <c r="D725" s="2">
        <v>0</v>
      </c>
      <c r="E725" s="2">
        <v>0</v>
      </c>
      <c r="F725" s="2">
        <v>0</v>
      </c>
      <c r="G725" s="2">
        <v>1</v>
      </c>
      <c r="H725" s="2">
        <v>0</v>
      </c>
      <c r="I725" s="2">
        <v>0</v>
      </c>
      <c r="J725" s="2">
        <v>0</v>
      </c>
      <c r="K725">
        <f>J725+L725</f>
        <v>1</v>
      </c>
      <c r="L725" s="2">
        <v>1</v>
      </c>
      <c r="M725" s="2">
        <v>0</v>
      </c>
      <c r="N725" s="2">
        <v>26</v>
      </c>
      <c r="O725" s="3" t="e">
        <f>N725/J725</f>
        <v>#DIV/0!</v>
      </c>
      <c r="P725" s="2">
        <v>0</v>
      </c>
      <c r="Q725" s="2">
        <v>0</v>
      </c>
      <c r="R725" s="2">
        <v>26</v>
      </c>
      <c r="S725" s="2">
        <v>7</v>
      </c>
      <c r="T725" s="2">
        <v>0</v>
      </c>
      <c r="U725" s="2">
        <v>1</v>
      </c>
      <c r="V725" s="2">
        <v>46</v>
      </c>
      <c r="W725" s="3">
        <f>V725/S725</f>
        <v>6.5714285714285712</v>
      </c>
      <c r="X725" s="3">
        <f>V725/U725</f>
        <v>46</v>
      </c>
      <c r="Y725" s="4">
        <f>S725*6/U725</f>
        <v>42</v>
      </c>
      <c r="Z725" s="2">
        <v>1</v>
      </c>
      <c r="AA725" s="2">
        <v>0</v>
      </c>
      <c r="AB725" s="2">
        <v>0</v>
      </c>
      <c r="AC725" s="2">
        <v>0</v>
      </c>
    </row>
    <row r="726" spans="1:29" x14ac:dyDescent="0.35">
      <c r="A726" s="1" t="s">
        <v>772</v>
      </c>
      <c r="B726" s="1" t="s">
        <v>24</v>
      </c>
      <c r="C726">
        <f>D726+E726+F726+G726+H726+I726</f>
        <v>1</v>
      </c>
      <c r="D726" s="2">
        <v>0</v>
      </c>
      <c r="E726" s="2">
        <v>0</v>
      </c>
      <c r="F726" s="2">
        <v>1</v>
      </c>
      <c r="G726" s="2">
        <v>0</v>
      </c>
      <c r="H726" s="2">
        <v>0</v>
      </c>
      <c r="I726" s="2">
        <v>0</v>
      </c>
      <c r="J726" s="2">
        <v>0</v>
      </c>
      <c r="K726">
        <f>J726+L726</f>
        <v>0</v>
      </c>
      <c r="L726" s="2">
        <v>0</v>
      </c>
      <c r="M726" s="2">
        <v>1</v>
      </c>
      <c r="N726" s="2">
        <v>0</v>
      </c>
      <c r="O726" s="3" t="e">
        <f>N726/J726</f>
        <v>#DIV/0!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>
        <v>0</v>
      </c>
      <c r="V726" s="2">
        <v>0</v>
      </c>
      <c r="W726" s="3" t="e">
        <f>V726/S726</f>
        <v>#DIV/0!</v>
      </c>
      <c r="X726" s="3" t="e">
        <f>V726/U726</f>
        <v>#DIV/0!</v>
      </c>
      <c r="Y726" s="4" t="e">
        <f>S726*6/U726</f>
        <v>#DIV/0!</v>
      </c>
      <c r="Z726" s="2">
        <v>0</v>
      </c>
      <c r="AA726" s="2">
        <v>0</v>
      </c>
      <c r="AB726" s="2">
        <v>0</v>
      </c>
      <c r="AC726" s="2">
        <v>0</v>
      </c>
    </row>
    <row r="727" spans="1:29" x14ac:dyDescent="0.35">
      <c r="A727" s="1" t="s">
        <v>773</v>
      </c>
      <c r="B727" s="1" t="s">
        <v>53</v>
      </c>
      <c r="C727">
        <f>D727+E727+F727+G727+H727+I727</f>
        <v>89</v>
      </c>
      <c r="D727" s="2">
        <v>38</v>
      </c>
      <c r="E727" s="2">
        <v>35</v>
      </c>
      <c r="F727" s="2">
        <v>8</v>
      </c>
      <c r="G727" s="2">
        <v>6</v>
      </c>
      <c r="H727" s="2">
        <v>1</v>
      </c>
      <c r="I727" s="2">
        <v>1</v>
      </c>
      <c r="J727" s="2">
        <v>43</v>
      </c>
      <c r="K727">
        <f>J727+L727</f>
        <v>59</v>
      </c>
      <c r="L727" s="2">
        <v>16</v>
      </c>
      <c r="M727" s="2">
        <v>33</v>
      </c>
      <c r="N727" s="2">
        <v>581</v>
      </c>
      <c r="O727" s="3">
        <f>N727/J727</f>
        <v>13.511627906976743</v>
      </c>
      <c r="P727" s="2">
        <v>0</v>
      </c>
      <c r="Q727" s="2">
        <v>0</v>
      </c>
      <c r="R727" s="2">
        <v>48</v>
      </c>
      <c r="S727" s="2">
        <v>1027</v>
      </c>
      <c r="T727" s="2">
        <v>283</v>
      </c>
      <c r="U727" s="2">
        <v>122</v>
      </c>
      <c r="V727" s="2">
        <v>2501</v>
      </c>
      <c r="W727" s="3">
        <f>V727/S727</f>
        <v>2.4352482960077895</v>
      </c>
      <c r="X727" s="3">
        <f>V727/U727</f>
        <v>20.5</v>
      </c>
      <c r="Y727" s="4">
        <f>S727*6/U727</f>
        <v>50.508196721311478</v>
      </c>
      <c r="Z727" s="2">
        <v>5</v>
      </c>
      <c r="AA727" s="2">
        <v>1</v>
      </c>
      <c r="AB727" s="2">
        <v>0</v>
      </c>
      <c r="AC727" s="2">
        <v>9</v>
      </c>
    </row>
    <row r="728" spans="1:29" x14ac:dyDescent="0.35">
      <c r="A728" s="1" t="s">
        <v>774</v>
      </c>
      <c r="B728" s="1" t="s">
        <v>222</v>
      </c>
      <c r="C728">
        <f>D728+E728+F728+G728+H728+I728</f>
        <v>5</v>
      </c>
      <c r="D728" s="2">
        <v>0</v>
      </c>
      <c r="E728" s="2">
        <v>5</v>
      </c>
      <c r="F728" s="2">
        <v>0</v>
      </c>
      <c r="G728" s="2">
        <v>0</v>
      </c>
      <c r="H728" s="2">
        <v>0</v>
      </c>
      <c r="I728" s="2">
        <v>0</v>
      </c>
      <c r="J728" s="2">
        <v>1</v>
      </c>
      <c r="K728">
        <f>J728+L728</f>
        <v>1</v>
      </c>
      <c r="L728" s="2">
        <v>0</v>
      </c>
      <c r="M728" s="2">
        <v>5</v>
      </c>
      <c r="N728" s="2">
        <v>1</v>
      </c>
      <c r="O728" s="3">
        <f>N728/J728</f>
        <v>1</v>
      </c>
      <c r="P728" s="2">
        <v>0</v>
      </c>
      <c r="Q728" s="2">
        <v>0</v>
      </c>
      <c r="R728" s="2">
        <v>1</v>
      </c>
      <c r="S728" s="2">
        <v>24</v>
      </c>
      <c r="T728" s="2">
        <v>4</v>
      </c>
      <c r="U728" s="2">
        <v>5</v>
      </c>
      <c r="V728" s="2">
        <v>98</v>
      </c>
      <c r="W728" s="3">
        <f>V728/S728</f>
        <v>4.083333333333333</v>
      </c>
      <c r="X728" s="3">
        <f>V728/U728</f>
        <v>19.600000000000001</v>
      </c>
      <c r="Y728" s="4">
        <f>S728*6/U728</f>
        <v>28.8</v>
      </c>
      <c r="Z728" s="2">
        <v>2</v>
      </c>
      <c r="AA728" s="2">
        <v>0</v>
      </c>
      <c r="AB728" s="2">
        <v>0</v>
      </c>
      <c r="AC728" s="2">
        <v>2</v>
      </c>
    </row>
    <row r="729" spans="1:29" x14ac:dyDescent="0.35">
      <c r="A729" s="1" t="s">
        <v>775</v>
      </c>
      <c r="B729" s="1" t="s">
        <v>239</v>
      </c>
      <c r="C729">
        <f>D729+E729+F729+G729+H729+I729</f>
        <v>27</v>
      </c>
      <c r="D729" s="2">
        <v>3</v>
      </c>
      <c r="E729" s="2">
        <v>13</v>
      </c>
      <c r="F729" s="2">
        <v>3</v>
      </c>
      <c r="G729" s="2">
        <v>0</v>
      </c>
      <c r="H729" s="2">
        <v>8</v>
      </c>
      <c r="I729" s="2">
        <v>0</v>
      </c>
      <c r="J729" s="2">
        <v>19</v>
      </c>
      <c r="K729">
        <f>J729+L729</f>
        <v>24</v>
      </c>
      <c r="L729" s="2">
        <v>5</v>
      </c>
      <c r="M729" s="2">
        <v>4</v>
      </c>
      <c r="N729" s="2">
        <v>365</v>
      </c>
      <c r="O729" s="3">
        <f>N729/J729</f>
        <v>19.210526315789473</v>
      </c>
      <c r="P729" s="2">
        <v>0</v>
      </c>
      <c r="Q729" s="2">
        <v>0</v>
      </c>
      <c r="R729" s="2">
        <v>40</v>
      </c>
      <c r="S729" s="2">
        <v>125</v>
      </c>
      <c r="T729" s="2">
        <v>25</v>
      </c>
      <c r="U729" s="2">
        <v>21</v>
      </c>
      <c r="V729" s="2">
        <v>377</v>
      </c>
      <c r="W729" s="3">
        <f>V729/S729</f>
        <v>3.016</v>
      </c>
      <c r="X729" s="3">
        <f>V729/U729</f>
        <v>17.952380952380953</v>
      </c>
      <c r="Y729" s="4">
        <f>S729*6/U729</f>
        <v>35.714285714285715</v>
      </c>
      <c r="Z729" s="2">
        <v>3</v>
      </c>
      <c r="AA729" s="2">
        <v>0</v>
      </c>
      <c r="AB729" s="2">
        <v>0</v>
      </c>
      <c r="AC729" s="2">
        <v>9</v>
      </c>
    </row>
    <row r="730" spans="1:29" x14ac:dyDescent="0.35">
      <c r="A730" s="1" t="s">
        <v>776</v>
      </c>
      <c r="B730" s="1" t="s">
        <v>24</v>
      </c>
      <c r="C730">
        <f>D730+E730+F730+G730+H730+I730</f>
        <v>2</v>
      </c>
      <c r="D730" s="2">
        <v>0</v>
      </c>
      <c r="E730" s="2">
        <v>0</v>
      </c>
      <c r="F730" s="2">
        <v>0</v>
      </c>
      <c r="G730" s="2">
        <v>0</v>
      </c>
      <c r="H730" s="2">
        <v>2</v>
      </c>
      <c r="I730" s="2">
        <v>0</v>
      </c>
      <c r="J730" s="2">
        <v>2</v>
      </c>
      <c r="K730">
        <f>J730+L730</f>
        <v>2</v>
      </c>
      <c r="L730" s="2">
        <v>0</v>
      </c>
      <c r="M730" s="2">
        <v>1</v>
      </c>
      <c r="N730" s="2">
        <v>0</v>
      </c>
      <c r="O730" s="3">
        <f>N730/J730</f>
        <v>0</v>
      </c>
      <c r="P730" s="2">
        <v>0</v>
      </c>
      <c r="Q730" s="2">
        <v>0</v>
      </c>
      <c r="R730" s="2">
        <v>0</v>
      </c>
      <c r="S730" s="2">
        <v>2</v>
      </c>
      <c r="T730" s="2">
        <v>0</v>
      </c>
      <c r="U730" s="2">
        <v>0</v>
      </c>
      <c r="V730" s="2">
        <v>15</v>
      </c>
      <c r="W730" s="3">
        <f>V730/S730</f>
        <v>7.5</v>
      </c>
      <c r="X730" s="3" t="e">
        <f>V730/U730</f>
        <v>#DIV/0!</v>
      </c>
      <c r="Y730" s="4" t="e">
        <f>S730*6/U730</f>
        <v>#DIV/0!</v>
      </c>
      <c r="Z730" s="2">
        <v>0</v>
      </c>
      <c r="AA730" s="2">
        <v>0</v>
      </c>
      <c r="AB730" s="2">
        <v>0</v>
      </c>
      <c r="AC730" s="2">
        <v>0</v>
      </c>
    </row>
    <row r="731" spans="1:29" x14ac:dyDescent="0.35">
      <c r="A731" s="1" t="s">
        <v>777</v>
      </c>
      <c r="B731" s="1" t="s">
        <v>434</v>
      </c>
      <c r="C731">
        <f>D731+E731+F731+G731+H731+I731</f>
        <v>4</v>
      </c>
      <c r="D731" s="2">
        <v>0</v>
      </c>
      <c r="E731" s="2">
        <v>0</v>
      </c>
      <c r="F731" s="2">
        <v>4</v>
      </c>
      <c r="G731" s="2">
        <v>0</v>
      </c>
      <c r="H731" s="2">
        <v>0</v>
      </c>
      <c r="I731" s="2">
        <v>0</v>
      </c>
      <c r="J731" s="2">
        <v>3</v>
      </c>
      <c r="K731">
        <f>J731+L731</f>
        <v>3</v>
      </c>
      <c r="L731" s="2">
        <v>0</v>
      </c>
      <c r="M731" s="2">
        <v>1</v>
      </c>
      <c r="N731" s="2">
        <v>11</v>
      </c>
      <c r="O731" s="3">
        <f>N731/J731</f>
        <v>3.6666666666666665</v>
      </c>
      <c r="P731" s="2">
        <v>0</v>
      </c>
      <c r="Q731" s="2">
        <v>0</v>
      </c>
      <c r="R731" s="2">
        <v>11</v>
      </c>
      <c r="S731" s="2">
        <v>3</v>
      </c>
      <c r="T731" s="2">
        <v>0</v>
      </c>
      <c r="U731" s="2">
        <v>0</v>
      </c>
      <c r="V731" s="2">
        <v>18</v>
      </c>
      <c r="W731" s="3">
        <f>V731/S731</f>
        <v>6</v>
      </c>
      <c r="X731" s="3" t="e">
        <f>V731/U731</f>
        <v>#DIV/0!</v>
      </c>
      <c r="Y731" s="4" t="e">
        <f>S731*6/U731</f>
        <v>#DIV/0!</v>
      </c>
      <c r="Z731" s="2">
        <v>0</v>
      </c>
      <c r="AA731" s="2">
        <v>0</v>
      </c>
      <c r="AB731" s="2">
        <v>0</v>
      </c>
      <c r="AC731" s="2">
        <v>2</v>
      </c>
    </row>
    <row r="732" spans="1:29" x14ac:dyDescent="0.35">
      <c r="A732" s="1" t="s">
        <v>777</v>
      </c>
      <c r="B732" s="1" t="s">
        <v>175</v>
      </c>
      <c r="C732">
        <f>D732+E732+F732+G732+H732+I732</f>
        <v>4</v>
      </c>
      <c r="D732" s="2">
        <v>0</v>
      </c>
      <c r="E732" s="2">
        <v>0</v>
      </c>
      <c r="F732" s="2">
        <v>0</v>
      </c>
      <c r="G732" s="2">
        <v>4</v>
      </c>
      <c r="H732" s="2">
        <v>0</v>
      </c>
      <c r="I732" s="2">
        <v>0</v>
      </c>
      <c r="J732" s="2">
        <v>1</v>
      </c>
      <c r="K732">
        <f>J732+L732</f>
        <v>1</v>
      </c>
      <c r="L732" s="2">
        <v>0</v>
      </c>
      <c r="M732" s="2">
        <v>3</v>
      </c>
      <c r="N732" s="2">
        <v>0</v>
      </c>
      <c r="O732" s="3">
        <f>N732/J732</f>
        <v>0</v>
      </c>
      <c r="P732" s="2">
        <v>0</v>
      </c>
      <c r="Q732" s="2">
        <v>0</v>
      </c>
      <c r="R732" s="2">
        <v>0</v>
      </c>
      <c r="S732" s="2">
        <v>21</v>
      </c>
      <c r="T732" s="2">
        <v>3</v>
      </c>
      <c r="U732" s="2">
        <v>3</v>
      </c>
      <c r="V732" s="2">
        <v>59</v>
      </c>
      <c r="W732" s="3">
        <f>V732/S732</f>
        <v>2.8095238095238093</v>
      </c>
      <c r="X732" s="3">
        <f>V732/U732</f>
        <v>19.666666666666668</v>
      </c>
      <c r="Y732" s="4">
        <f>S732*6/U732</f>
        <v>42</v>
      </c>
      <c r="Z732" s="2">
        <v>2</v>
      </c>
      <c r="AA732" s="2">
        <v>0</v>
      </c>
      <c r="AB732" s="2">
        <v>0</v>
      </c>
      <c r="AC732" s="2">
        <v>1</v>
      </c>
    </row>
    <row r="733" spans="1:29" x14ac:dyDescent="0.35">
      <c r="A733" s="1" t="s">
        <v>778</v>
      </c>
      <c r="B733" s="1" t="s">
        <v>118</v>
      </c>
      <c r="C733">
        <f>D733+E733+F733+G733+H733+I733</f>
        <v>51</v>
      </c>
      <c r="D733" s="2">
        <v>41</v>
      </c>
      <c r="E733" s="2">
        <v>4</v>
      </c>
      <c r="F733" s="2">
        <v>1</v>
      </c>
      <c r="G733" s="2">
        <v>1</v>
      </c>
      <c r="H733" s="2">
        <v>3</v>
      </c>
      <c r="I733" s="2">
        <v>1</v>
      </c>
      <c r="J733" s="2">
        <v>52</v>
      </c>
      <c r="K733">
        <f>J733+L733</f>
        <v>54</v>
      </c>
      <c r="L733" s="2">
        <v>2</v>
      </c>
      <c r="M733" s="2">
        <v>1</v>
      </c>
      <c r="N733" s="2">
        <v>1350</v>
      </c>
      <c r="O733" s="3">
        <f>N733/J733</f>
        <v>25.96153846153846</v>
      </c>
      <c r="P733" s="2">
        <v>5</v>
      </c>
      <c r="Q733" s="2">
        <v>2</v>
      </c>
      <c r="R733" s="2">
        <v>142</v>
      </c>
      <c r="S733" s="2">
        <v>12</v>
      </c>
      <c r="T733" s="2">
        <v>2</v>
      </c>
      <c r="U733" s="2">
        <v>1</v>
      </c>
      <c r="V733" s="2">
        <v>49</v>
      </c>
      <c r="W733" s="3">
        <f>V733/S733</f>
        <v>4.083333333333333</v>
      </c>
      <c r="X733" s="3">
        <f>V733/U733</f>
        <v>49</v>
      </c>
      <c r="Y733" s="4">
        <f>S733*6/U733</f>
        <v>72</v>
      </c>
      <c r="Z733" s="2">
        <v>1</v>
      </c>
      <c r="AA733" s="2">
        <v>0</v>
      </c>
      <c r="AB733" s="2">
        <v>0</v>
      </c>
      <c r="AC733" s="2">
        <v>16</v>
      </c>
    </row>
    <row r="734" spans="1:29" x14ac:dyDescent="0.35">
      <c r="A734" s="1" t="s">
        <v>779</v>
      </c>
      <c r="B734" s="1" t="s">
        <v>77</v>
      </c>
      <c r="C734">
        <f>D734+E734+F734+G734+H734+I734</f>
        <v>8</v>
      </c>
      <c r="D734" s="2">
        <v>0</v>
      </c>
      <c r="E734" s="2">
        <v>8</v>
      </c>
      <c r="F734" s="2">
        <v>0</v>
      </c>
      <c r="G734" s="2">
        <v>0</v>
      </c>
      <c r="H734" s="2">
        <v>0</v>
      </c>
      <c r="I734" s="2">
        <v>0</v>
      </c>
      <c r="J734" s="2">
        <v>7</v>
      </c>
      <c r="K734">
        <f>J734+L734</f>
        <v>8</v>
      </c>
      <c r="L734" s="2">
        <v>1</v>
      </c>
      <c r="M734" s="2">
        <v>1</v>
      </c>
      <c r="N734" s="2">
        <v>145</v>
      </c>
      <c r="O734" s="3">
        <f>N734/J734</f>
        <v>20.714285714285715</v>
      </c>
      <c r="P734" s="2">
        <v>0</v>
      </c>
      <c r="Q734" s="2">
        <v>0</v>
      </c>
      <c r="R734" s="2">
        <v>49</v>
      </c>
      <c r="S734" s="2">
        <v>0</v>
      </c>
      <c r="T734" s="2">
        <v>0</v>
      </c>
      <c r="U734" s="2">
        <v>0</v>
      </c>
      <c r="V734" s="2">
        <v>0</v>
      </c>
      <c r="W734" s="3" t="e">
        <f>V734/S734</f>
        <v>#DIV/0!</v>
      </c>
      <c r="X734" s="3" t="e">
        <f>V734/U734</f>
        <v>#DIV/0!</v>
      </c>
      <c r="Y734" s="4" t="e">
        <f>S734*6/U734</f>
        <v>#DIV/0!</v>
      </c>
      <c r="Z734" s="2">
        <v>0</v>
      </c>
      <c r="AA734" s="2">
        <v>0</v>
      </c>
      <c r="AB734" s="2">
        <v>0</v>
      </c>
      <c r="AC734" s="2">
        <v>23</v>
      </c>
    </row>
    <row r="735" spans="1:29" x14ac:dyDescent="0.35">
      <c r="A735" s="1" t="s">
        <v>780</v>
      </c>
      <c r="B735" s="1" t="s">
        <v>281</v>
      </c>
      <c r="C735">
        <f>D735+E735+F735+G735+H735+I735</f>
        <v>21</v>
      </c>
      <c r="D735" s="2">
        <v>0</v>
      </c>
      <c r="E735" s="2">
        <v>0</v>
      </c>
      <c r="F735" s="2">
        <v>0</v>
      </c>
      <c r="G735" s="2">
        <v>4</v>
      </c>
      <c r="H735" s="2">
        <v>17</v>
      </c>
      <c r="I735" s="2">
        <v>0</v>
      </c>
      <c r="J735" s="2">
        <v>23</v>
      </c>
      <c r="K735">
        <f>J735+L735</f>
        <v>23</v>
      </c>
      <c r="L735" s="2">
        <v>0</v>
      </c>
      <c r="M735" s="2">
        <v>0</v>
      </c>
      <c r="N735" s="2">
        <v>443</v>
      </c>
      <c r="O735" s="3">
        <f>N735/J735</f>
        <v>19.260869565217391</v>
      </c>
      <c r="P735" s="2">
        <v>2</v>
      </c>
      <c r="Q735" s="2">
        <v>0</v>
      </c>
      <c r="R735" s="2">
        <v>70</v>
      </c>
      <c r="S735" s="2">
        <v>6</v>
      </c>
      <c r="T735" s="2">
        <v>0</v>
      </c>
      <c r="U735" s="2">
        <v>0</v>
      </c>
      <c r="V735" s="2">
        <v>30</v>
      </c>
      <c r="W735" s="3">
        <f>V735/S735</f>
        <v>5</v>
      </c>
      <c r="X735" s="3" t="e">
        <f>V735/U735</f>
        <v>#DIV/0!</v>
      </c>
      <c r="Y735" s="4" t="e">
        <f>S735*6/U735</f>
        <v>#DIV/0!</v>
      </c>
      <c r="Z735" s="2">
        <v>0</v>
      </c>
      <c r="AA735" s="2">
        <v>0</v>
      </c>
      <c r="AB735" s="2">
        <v>0</v>
      </c>
      <c r="AC735" s="2">
        <v>2</v>
      </c>
    </row>
    <row r="736" spans="1:29" x14ac:dyDescent="0.35">
      <c r="A736" s="1" t="s">
        <v>781</v>
      </c>
      <c r="B736" s="1" t="s">
        <v>97</v>
      </c>
      <c r="C736">
        <f>D736+E736+F736+G736+H736+I736</f>
        <v>6</v>
      </c>
      <c r="D736" s="2">
        <v>0</v>
      </c>
      <c r="E736" s="2">
        <v>0</v>
      </c>
      <c r="F736" s="2">
        <v>5</v>
      </c>
      <c r="G736" s="2">
        <v>1</v>
      </c>
      <c r="H736" s="2">
        <v>0</v>
      </c>
      <c r="I736" s="2">
        <v>0</v>
      </c>
      <c r="J736" s="2">
        <v>8</v>
      </c>
      <c r="K736">
        <f>J736+L736</f>
        <v>8</v>
      </c>
      <c r="L736" s="2">
        <v>0</v>
      </c>
      <c r="M736" s="2">
        <v>4</v>
      </c>
      <c r="N736" s="2">
        <v>35</v>
      </c>
      <c r="O736" s="3">
        <f>N736/J736</f>
        <v>4.375</v>
      </c>
      <c r="P736" s="2">
        <v>0</v>
      </c>
      <c r="Q736" s="2">
        <v>0</v>
      </c>
      <c r="R736" s="2">
        <v>7</v>
      </c>
      <c r="S736" s="2">
        <v>8</v>
      </c>
      <c r="T736" s="2">
        <v>1</v>
      </c>
      <c r="U736" s="2">
        <v>0</v>
      </c>
      <c r="V736" s="2">
        <v>49</v>
      </c>
      <c r="W736" s="3">
        <f>V736/S736</f>
        <v>6.125</v>
      </c>
      <c r="X736" s="3" t="e">
        <f>V736/U736</f>
        <v>#DIV/0!</v>
      </c>
      <c r="Y736" s="4" t="e">
        <f>S736*6/U736</f>
        <v>#DIV/0!</v>
      </c>
      <c r="Z736" s="2">
        <v>0</v>
      </c>
      <c r="AA736" s="2">
        <v>0</v>
      </c>
      <c r="AB736" s="2">
        <v>0</v>
      </c>
      <c r="AC736" s="2">
        <v>1</v>
      </c>
    </row>
    <row r="737" spans="1:29" x14ac:dyDescent="0.35">
      <c r="A737" s="1" t="s">
        <v>782</v>
      </c>
      <c r="B737" s="1" t="s">
        <v>54</v>
      </c>
      <c r="C737">
        <f>D737+E737+F737+G737+H737+I737</f>
        <v>13</v>
      </c>
      <c r="D737" s="2">
        <v>0</v>
      </c>
      <c r="E737" s="2">
        <v>0</v>
      </c>
      <c r="F737" s="2">
        <v>2</v>
      </c>
      <c r="G737" s="2">
        <v>5</v>
      </c>
      <c r="H737" s="2">
        <v>6</v>
      </c>
      <c r="I737" s="2">
        <v>0</v>
      </c>
      <c r="J737" s="2">
        <v>12</v>
      </c>
      <c r="K737">
        <f>J737+L737</f>
        <v>14</v>
      </c>
      <c r="L737" s="2">
        <v>2</v>
      </c>
      <c r="M737" s="2">
        <v>2</v>
      </c>
      <c r="N737" s="2">
        <v>171</v>
      </c>
      <c r="O737" s="3">
        <f>N737/J737</f>
        <v>14.25</v>
      </c>
      <c r="P737" s="2">
        <v>1</v>
      </c>
      <c r="Q737" s="2">
        <v>0</v>
      </c>
      <c r="R737" s="2">
        <v>52</v>
      </c>
      <c r="S737" s="2">
        <v>0</v>
      </c>
      <c r="T737" s="2">
        <v>0</v>
      </c>
      <c r="U737" s="2">
        <v>0</v>
      </c>
      <c r="V737" s="2">
        <v>0</v>
      </c>
      <c r="W737" s="3" t="e">
        <f>V737/S737</f>
        <v>#DIV/0!</v>
      </c>
      <c r="X737" s="3" t="e">
        <f>V737/U737</f>
        <v>#DIV/0!</v>
      </c>
      <c r="Y737" s="4" t="e">
        <f>S737*6/U737</f>
        <v>#DIV/0!</v>
      </c>
      <c r="Z737" s="2">
        <v>0</v>
      </c>
      <c r="AA737" s="2">
        <v>0</v>
      </c>
      <c r="AB737" s="2">
        <v>0</v>
      </c>
      <c r="AC737" s="2">
        <v>6</v>
      </c>
    </row>
    <row r="738" spans="1:29" x14ac:dyDescent="0.35">
      <c r="A738" s="1" t="s">
        <v>1129</v>
      </c>
      <c r="B738" s="1" t="s">
        <v>895</v>
      </c>
      <c r="C738">
        <f>D738+E738+F738+G738+H738+I738</f>
        <v>6</v>
      </c>
      <c r="D738" s="2">
        <v>0</v>
      </c>
      <c r="E738" s="2">
        <v>1</v>
      </c>
      <c r="F738" s="2">
        <v>1</v>
      </c>
      <c r="G738" s="2">
        <v>0</v>
      </c>
      <c r="H738" s="2">
        <v>0</v>
      </c>
      <c r="I738" s="2">
        <v>4</v>
      </c>
      <c r="J738" s="2">
        <v>4</v>
      </c>
      <c r="K738">
        <f>J738+L738</f>
        <v>5</v>
      </c>
      <c r="L738" s="2">
        <v>1</v>
      </c>
      <c r="M738" s="2">
        <v>0</v>
      </c>
      <c r="N738" s="2">
        <v>28</v>
      </c>
      <c r="O738" s="3">
        <f>N738/J738</f>
        <v>7</v>
      </c>
      <c r="P738" s="2">
        <v>0</v>
      </c>
      <c r="Q738" s="2">
        <v>0</v>
      </c>
      <c r="R738" s="11">
        <v>12</v>
      </c>
      <c r="S738" s="2">
        <v>18</v>
      </c>
      <c r="T738" s="2">
        <v>1</v>
      </c>
      <c r="U738" s="2">
        <v>2</v>
      </c>
      <c r="V738" s="2">
        <v>65</v>
      </c>
      <c r="W738" s="3">
        <f>V738/S738</f>
        <v>3.6111111111111112</v>
      </c>
      <c r="X738" s="3">
        <f>V738/U738</f>
        <v>32.5</v>
      </c>
      <c r="Y738" s="4">
        <f>S738*6/U738</f>
        <v>54</v>
      </c>
      <c r="Z738" s="11" t="s">
        <v>1288</v>
      </c>
      <c r="AA738" s="2">
        <v>0</v>
      </c>
      <c r="AB738" s="2">
        <v>0</v>
      </c>
      <c r="AC738" s="2">
        <v>2</v>
      </c>
    </row>
    <row r="739" spans="1:29" x14ac:dyDescent="0.35">
      <c r="A739" s="7" t="s">
        <v>783</v>
      </c>
      <c r="B739" s="7" t="s">
        <v>124</v>
      </c>
      <c r="C739">
        <f>D739+E739+F739+G739+H739+I739</f>
        <v>29</v>
      </c>
      <c r="D739" s="5">
        <v>0</v>
      </c>
      <c r="E739" s="5">
        <v>0</v>
      </c>
      <c r="F739" s="5">
        <v>11</v>
      </c>
      <c r="G739" s="5">
        <v>6</v>
      </c>
      <c r="H739" s="5">
        <v>5</v>
      </c>
      <c r="I739" s="5">
        <v>7</v>
      </c>
      <c r="J739" s="5">
        <v>25</v>
      </c>
      <c r="K739">
        <f>J739+L739</f>
        <v>32</v>
      </c>
      <c r="L739" s="5">
        <v>7</v>
      </c>
      <c r="M739" s="5">
        <v>3</v>
      </c>
      <c r="N739" s="5">
        <v>540</v>
      </c>
      <c r="O739" s="3">
        <f>N739/J739</f>
        <v>21.6</v>
      </c>
      <c r="P739" s="5">
        <v>2</v>
      </c>
      <c r="Q739" s="5">
        <v>1</v>
      </c>
      <c r="R739" s="40">
        <v>149</v>
      </c>
      <c r="S739" s="5">
        <v>5</v>
      </c>
      <c r="T739" s="5">
        <v>0</v>
      </c>
      <c r="U739" s="5">
        <v>0</v>
      </c>
      <c r="V739" s="5">
        <v>26</v>
      </c>
      <c r="W739" s="3">
        <f>V739/S739</f>
        <v>5.2</v>
      </c>
      <c r="X739" s="3" t="e">
        <f>V739/U739</f>
        <v>#DIV/0!</v>
      </c>
      <c r="Y739" s="4" t="e">
        <f>S739*6/U739</f>
        <v>#DIV/0!</v>
      </c>
      <c r="Z739" s="40">
        <v>0</v>
      </c>
      <c r="AA739" s="5">
        <v>0</v>
      </c>
      <c r="AB739" s="5">
        <v>0</v>
      </c>
      <c r="AC739" s="5">
        <v>29</v>
      </c>
    </row>
    <row r="740" spans="1:29" x14ac:dyDescent="0.35">
      <c r="A740" s="1" t="s">
        <v>784</v>
      </c>
      <c r="B740" s="1" t="s">
        <v>96</v>
      </c>
      <c r="C740">
        <f>D740+E740+F740+G740+H740+I740</f>
        <v>42</v>
      </c>
      <c r="D740" s="2">
        <v>1</v>
      </c>
      <c r="E740" s="2">
        <v>5</v>
      </c>
      <c r="F740" s="2">
        <v>5</v>
      </c>
      <c r="G740" s="2">
        <v>22</v>
      </c>
      <c r="H740" s="2">
        <v>9</v>
      </c>
      <c r="I740" s="2">
        <v>0</v>
      </c>
      <c r="J740" s="2">
        <v>24</v>
      </c>
      <c r="K740">
        <f>J740+L740</f>
        <v>33</v>
      </c>
      <c r="L740" s="2">
        <v>9</v>
      </c>
      <c r="M740" s="2">
        <v>11</v>
      </c>
      <c r="N740" s="2">
        <v>684</v>
      </c>
      <c r="O740" s="3">
        <f>N740/J740</f>
        <v>28.5</v>
      </c>
      <c r="P740" s="2">
        <v>3</v>
      </c>
      <c r="Q740" s="2">
        <v>0</v>
      </c>
      <c r="R740" s="2">
        <v>70</v>
      </c>
      <c r="S740" s="2">
        <v>36</v>
      </c>
      <c r="T740" s="2">
        <v>1</v>
      </c>
      <c r="U740" s="2">
        <v>7</v>
      </c>
      <c r="V740" s="2">
        <v>179</v>
      </c>
      <c r="W740" s="3">
        <f>V740/S740</f>
        <v>4.9722222222222223</v>
      </c>
      <c r="X740" s="3">
        <f>V740/U740</f>
        <v>25.571428571428573</v>
      </c>
      <c r="Y740" s="4">
        <f>S740*6/U740</f>
        <v>30.857142857142858</v>
      </c>
      <c r="Z740" s="2">
        <v>2</v>
      </c>
      <c r="AA740" s="2">
        <v>0</v>
      </c>
      <c r="AB740" s="2">
        <v>0</v>
      </c>
      <c r="AC740" s="2">
        <v>20</v>
      </c>
    </row>
    <row r="741" spans="1:29" x14ac:dyDescent="0.35">
      <c r="A741" s="1" t="s">
        <v>784</v>
      </c>
      <c r="B741" s="1" t="s">
        <v>151</v>
      </c>
      <c r="C741">
        <f>D741+E741+F741+G741+H741+I741</f>
        <v>2</v>
      </c>
      <c r="D741" s="2">
        <v>0</v>
      </c>
      <c r="E741" s="2">
        <v>0</v>
      </c>
      <c r="F741" s="2">
        <v>1</v>
      </c>
      <c r="G741" s="2">
        <v>1</v>
      </c>
      <c r="H741" s="2">
        <v>0</v>
      </c>
      <c r="I741" s="2">
        <v>0</v>
      </c>
      <c r="J741" s="2">
        <v>2</v>
      </c>
      <c r="K741">
        <f>J741+L741</f>
        <v>2</v>
      </c>
      <c r="L741" s="2">
        <v>0</v>
      </c>
      <c r="M741" s="2">
        <v>0</v>
      </c>
      <c r="N741" s="2">
        <v>6</v>
      </c>
      <c r="O741" s="3">
        <f>N741/J741</f>
        <v>3</v>
      </c>
      <c r="P741" s="2">
        <v>0</v>
      </c>
      <c r="Q741" s="2">
        <v>0</v>
      </c>
      <c r="R741" s="2">
        <v>6</v>
      </c>
      <c r="S741" s="2">
        <v>1</v>
      </c>
      <c r="T741" s="2">
        <v>0</v>
      </c>
      <c r="U741" s="2">
        <v>1</v>
      </c>
      <c r="V741" s="2">
        <v>5</v>
      </c>
      <c r="W741" s="3">
        <f>V741/S741</f>
        <v>5</v>
      </c>
      <c r="X741" s="3">
        <f>V741/U741</f>
        <v>5</v>
      </c>
      <c r="Y741" s="4">
        <f>S741*6/U741</f>
        <v>6</v>
      </c>
      <c r="Z741" s="2">
        <v>1</v>
      </c>
      <c r="AA741" s="2">
        <v>0</v>
      </c>
      <c r="AB741" s="2">
        <v>0</v>
      </c>
      <c r="AC741" s="2">
        <v>0</v>
      </c>
    </row>
    <row r="742" spans="1:29" x14ac:dyDescent="0.35">
      <c r="A742" s="1" t="s">
        <v>784</v>
      </c>
      <c r="B742" s="1" t="s">
        <v>785</v>
      </c>
      <c r="C742">
        <f>D742+E742+F742+G742+H742+I742</f>
        <v>1</v>
      </c>
      <c r="D742" s="2">
        <v>0</v>
      </c>
      <c r="E742" s="2">
        <v>0</v>
      </c>
      <c r="F742" s="2">
        <v>0</v>
      </c>
      <c r="G742" s="2">
        <v>1</v>
      </c>
      <c r="H742" s="2">
        <v>0</v>
      </c>
      <c r="I742" s="2">
        <v>0</v>
      </c>
      <c r="J742" s="2">
        <v>0</v>
      </c>
      <c r="K742">
        <f>J742+L742</f>
        <v>1</v>
      </c>
      <c r="L742" s="2">
        <v>1</v>
      </c>
      <c r="M742" s="2">
        <v>0</v>
      </c>
      <c r="N742" s="2">
        <v>46</v>
      </c>
      <c r="O742" s="3" t="e">
        <f>N742/J742</f>
        <v>#DIV/0!</v>
      </c>
      <c r="P742" s="2">
        <v>0</v>
      </c>
      <c r="Q742" s="2">
        <v>0</v>
      </c>
      <c r="R742" s="2">
        <v>46</v>
      </c>
      <c r="S742" s="2">
        <v>0</v>
      </c>
      <c r="T742" s="2">
        <v>0</v>
      </c>
      <c r="U742" s="2">
        <v>0</v>
      </c>
      <c r="V742" s="2">
        <v>0</v>
      </c>
      <c r="W742" s="3" t="e">
        <f>V742/S742</f>
        <v>#DIV/0!</v>
      </c>
      <c r="X742" s="3" t="e">
        <f>V742/U742</f>
        <v>#DIV/0!</v>
      </c>
      <c r="Y742" s="4" t="e">
        <f>S742*6/U742</f>
        <v>#DIV/0!</v>
      </c>
      <c r="Z742" s="2">
        <v>0</v>
      </c>
      <c r="AA742" s="2">
        <v>0</v>
      </c>
      <c r="AB742" s="2">
        <v>0</v>
      </c>
      <c r="AC742" s="2">
        <v>0</v>
      </c>
    </row>
    <row r="743" spans="1:29" x14ac:dyDescent="0.35">
      <c r="A743" s="1" t="s">
        <v>786</v>
      </c>
      <c r="B743" s="1" t="s">
        <v>769</v>
      </c>
      <c r="C743">
        <f>D743+E743+F743+G743+H743+I743</f>
        <v>2</v>
      </c>
      <c r="D743" s="2">
        <v>0</v>
      </c>
      <c r="E743" s="2">
        <v>0</v>
      </c>
      <c r="F743" s="2">
        <v>0</v>
      </c>
      <c r="G743" s="2">
        <v>0</v>
      </c>
      <c r="H743" s="2">
        <v>2</v>
      </c>
      <c r="I743" s="2">
        <v>0</v>
      </c>
      <c r="J743" s="2">
        <v>0</v>
      </c>
      <c r="K743">
        <f>J743+L743</f>
        <v>1</v>
      </c>
      <c r="L743" s="2">
        <v>1</v>
      </c>
      <c r="M743" s="2">
        <v>1</v>
      </c>
      <c r="N743" s="2">
        <v>3</v>
      </c>
      <c r="O743" s="3" t="e">
        <f>N743/J743</f>
        <v>#DIV/0!</v>
      </c>
      <c r="P743" s="2">
        <v>0</v>
      </c>
      <c r="Q743" s="2">
        <v>0</v>
      </c>
      <c r="R743" s="2">
        <v>3</v>
      </c>
      <c r="S743" s="2">
        <v>15</v>
      </c>
      <c r="T743" s="2">
        <v>2</v>
      </c>
      <c r="U743" s="2">
        <v>2</v>
      </c>
      <c r="V743" s="2">
        <v>54</v>
      </c>
      <c r="W743" s="3">
        <f>V743/S743</f>
        <v>3.6</v>
      </c>
      <c r="X743" s="3">
        <f>V743/U743</f>
        <v>27</v>
      </c>
      <c r="Y743" s="4">
        <f>S743*6/U743</f>
        <v>45</v>
      </c>
      <c r="Z743" s="2">
        <v>2</v>
      </c>
      <c r="AA743" s="2">
        <v>0</v>
      </c>
      <c r="AB743" s="2">
        <v>0</v>
      </c>
      <c r="AC743" s="2">
        <v>0</v>
      </c>
    </row>
    <row r="744" spans="1:29" x14ac:dyDescent="0.35">
      <c r="A744" s="1" t="s">
        <v>787</v>
      </c>
      <c r="B744" s="1" t="s">
        <v>54</v>
      </c>
      <c r="C744">
        <f>D744+E744+F744+G744+H744+I744</f>
        <v>1</v>
      </c>
      <c r="D744" s="2">
        <v>0</v>
      </c>
      <c r="E744" s="2">
        <v>0</v>
      </c>
      <c r="F744" s="2">
        <v>0</v>
      </c>
      <c r="G744" s="2">
        <v>0</v>
      </c>
      <c r="H744" s="2">
        <v>1</v>
      </c>
      <c r="I744" s="2">
        <v>0</v>
      </c>
      <c r="J744" s="2">
        <v>0</v>
      </c>
      <c r="K744">
        <f>J744+L744</f>
        <v>0</v>
      </c>
      <c r="L744" s="2">
        <v>0</v>
      </c>
      <c r="M744" s="2">
        <v>1</v>
      </c>
      <c r="N744" s="2">
        <v>0</v>
      </c>
      <c r="O744" s="3" t="e">
        <f>N744/J744</f>
        <v>#DIV/0!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>
        <v>0</v>
      </c>
      <c r="V744" s="2">
        <v>0</v>
      </c>
      <c r="W744" s="3" t="e">
        <f>V744/S744</f>
        <v>#DIV/0!</v>
      </c>
      <c r="X744" s="3" t="e">
        <f>V744/U744</f>
        <v>#DIV/0!</v>
      </c>
      <c r="Y744" s="4" t="e">
        <f>S744*6/U744</f>
        <v>#DIV/0!</v>
      </c>
      <c r="Z744" s="2">
        <v>0</v>
      </c>
      <c r="AA744" s="2">
        <v>0</v>
      </c>
      <c r="AB744" s="2">
        <v>0</v>
      </c>
      <c r="AC744" s="2">
        <v>0</v>
      </c>
    </row>
    <row r="745" spans="1:29" x14ac:dyDescent="0.35">
      <c r="A745" s="35" t="s">
        <v>1275</v>
      </c>
      <c r="B745" s="35" t="s">
        <v>36</v>
      </c>
      <c r="C745">
        <f>D745+E745+F745+G745+H745+I745</f>
        <v>22</v>
      </c>
      <c r="D745" s="5">
        <v>0</v>
      </c>
      <c r="E745" s="5">
        <v>0</v>
      </c>
      <c r="F745" s="5">
        <v>0</v>
      </c>
      <c r="G745" s="5">
        <v>0</v>
      </c>
      <c r="H745" s="5">
        <v>11</v>
      </c>
      <c r="I745" s="5">
        <v>11</v>
      </c>
      <c r="J745" s="5">
        <v>19</v>
      </c>
      <c r="K745">
        <f>J745+L745</f>
        <v>19</v>
      </c>
      <c r="L745" s="5">
        <v>0</v>
      </c>
      <c r="M745" s="5">
        <v>3</v>
      </c>
      <c r="N745" s="5">
        <f>134+64</f>
        <v>198</v>
      </c>
      <c r="O745" s="3">
        <f>N745/J745</f>
        <v>10.421052631578947</v>
      </c>
      <c r="P745" s="5">
        <v>0</v>
      </c>
      <c r="Q745" s="5">
        <v>0</v>
      </c>
      <c r="R745" s="5">
        <v>35</v>
      </c>
      <c r="S745" s="35">
        <f>54.2+31</f>
        <v>85.2</v>
      </c>
      <c r="T745" s="35">
        <v>4</v>
      </c>
      <c r="U745" s="35">
        <v>12</v>
      </c>
      <c r="V745" s="35">
        <f>265+132</f>
        <v>397</v>
      </c>
      <c r="W745" s="3">
        <f>V745/S745</f>
        <v>4.65962441314554</v>
      </c>
      <c r="X745" s="3">
        <f>V745/U745</f>
        <v>33.083333333333336</v>
      </c>
      <c r="Y745" s="3">
        <f>323/U745</f>
        <v>26.916666666666668</v>
      </c>
      <c r="Z745" s="35" t="s">
        <v>1276</v>
      </c>
      <c r="AA745" s="35">
        <v>0</v>
      </c>
      <c r="AB745" s="35">
        <v>0</v>
      </c>
      <c r="AC745" s="45">
        <v>4</v>
      </c>
    </row>
    <row r="746" spans="1:29" x14ac:dyDescent="0.35">
      <c r="A746" s="22" t="s">
        <v>1219</v>
      </c>
      <c r="B746" s="22" t="s">
        <v>1220</v>
      </c>
      <c r="C746" s="18">
        <f>D746+E746+F746+G746+H746+I746</f>
        <v>38</v>
      </c>
      <c r="D746" s="16">
        <v>2</v>
      </c>
      <c r="E746" s="16">
        <v>12</v>
      </c>
      <c r="F746" s="16">
        <v>20</v>
      </c>
      <c r="G746" s="16">
        <v>3</v>
      </c>
      <c r="H746" s="16">
        <v>1</v>
      </c>
      <c r="I746" s="16">
        <v>0</v>
      </c>
      <c r="J746" s="16">
        <v>25</v>
      </c>
      <c r="K746" s="18">
        <f>J746+L746</f>
        <v>32</v>
      </c>
      <c r="L746" s="16">
        <v>7</v>
      </c>
      <c r="M746" s="16">
        <v>5</v>
      </c>
      <c r="N746" s="16">
        <f>430+51</f>
        <v>481</v>
      </c>
      <c r="O746" s="19">
        <f>N746/J746</f>
        <v>19.239999999999998</v>
      </c>
      <c r="P746" s="16">
        <v>1</v>
      </c>
      <c r="Q746" s="16">
        <v>0</v>
      </c>
      <c r="R746" s="22" t="s">
        <v>1300</v>
      </c>
      <c r="S746" s="22">
        <v>201.1</v>
      </c>
      <c r="T746" s="22">
        <v>34</v>
      </c>
      <c r="U746" s="22">
        <v>37</v>
      </c>
      <c r="V746" s="22">
        <f>643+16</f>
        <v>659</v>
      </c>
      <c r="W746" s="19">
        <f>V746/S746</f>
        <v>3.2769766285430135</v>
      </c>
      <c r="X746" s="19">
        <f>V746/U746</f>
        <v>17.810810810810811</v>
      </c>
      <c r="Y746" s="19">
        <f>434/12</f>
        <v>36.166666666666664</v>
      </c>
      <c r="Z746" s="22" t="s">
        <v>1371</v>
      </c>
      <c r="AA746" s="22">
        <v>1</v>
      </c>
      <c r="AB746" s="22">
        <v>0</v>
      </c>
      <c r="AC746" s="22">
        <v>16</v>
      </c>
    </row>
    <row r="747" spans="1:29" x14ac:dyDescent="0.35">
      <c r="A747" s="34" t="s">
        <v>788</v>
      </c>
      <c r="B747" s="34" t="s">
        <v>146</v>
      </c>
      <c r="C747">
        <f>D747+E747+F747+G747+H747+I747</f>
        <v>8</v>
      </c>
      <c r="D747" s="5">
        <v>0</v>
      </c>
      <c r="E747" s="5">
        <v>6</v>
      </c>
      <c r="F747" s="5">
        <v>1</v>
      </c>
      <c r="G747" s="5">
        <v>1</v>
      </c>
      <c r="H747" s="5">
        <v>0</v>
      </c>
      <c r="I747" s="5">
        <v>0</v>
      </c>
      <c r="J747" s="5">
        <v>5</v>
      </c>
      <c r="K747">
        <f>J747+L747</f>
        <v>5</v>
      </c>
      <c r="L747" s="5">
        <v>0</v>
      </c>
      <c r="M747" s="5">
        <v>5</v>
      </c>
      <c r="N747" s="5">
        <v>3</v>
      </c>
      <c r="O747" s="3">
        <f>N747/J747</f>
        <v>0.6</v>
      </c>
      <c r="P747" s="5">
        <v>0</v>
      </c>
      <c r="Q747" s="5">
        <v>0</v>
      </c>
      <c r="R747" s="40">
        <v>2</v>
      </c>
      <c r="S747" s="40">
        <v>54</v>
      </c>
      <c r="T747" s="40">
        <v>6</v>
      </c>
      <c r="U747" s="40">
        <v>3</v>
      </c>
      <c r="V747" s="40">
        <v>161</v>
      </c>
      <c r="W747" s="3">
        <f>V747/S747</f>
        <v>2.9814814814814814</v>
      </c>
      <c r="X747" s="3">
        <f>V747/U747</f>
        <v>53.666666666666664</v>
      </c>
      <c r="Y747" s="4">
        <f>S747*6/U747</f>
        <v>108</v>
      </c>
      <c r="Z747" s="40">
        <v>3</v>
      </c>
      <c r="AA747" s="40">
        <v>0</v>
      </c>
      <c r="AB747" s="40">
        <v>0</v>
      </c>
      <c r="AC747" s="40">
        <v>0</v>
      </c>
    </row>
    <row r="748" spans="1:29" x14ac:dyDescent="0.35">
      <c r="A748" s="36" t="s">
        <v>789</v>
      </c>
      <c r="B748" s="36" t="s">
        <v>1075</v>
      </c>
      <c r="C748" s="18">
        <f>D748+E748+F748+G748+H748+I748</f>
        <v>74</v>
      </c>
      <c r="D748" s="39">
        <f>15+7</f>
        <v>22</v>
      </c>
      <c r="E748" s="39">
        <f>26+7</f>
        <v>33</v>
      </c>
      <c r="F748" s="39">
        <v>0</v>
      </c>
      <c r="G748" s="39">
        <v>3</v>
      </c>
      <c r="H748" s="39">
        <v>16</v>
      </c>
      <c r="I748" s="39">
        <v>0</v>
      </c>
      <c r="J748" s="39">
        <v>53</v>
      </c>
      <c r="K748" s="18">
        <f>J748+L748</f>
        <v>67</v>
      </c>
      <c r="L748" s="39">
        <v>14</v>
      </c>
      <c r="M748" s="39">
        <v>7</v>
      </c>
      <c r="N748" s="39">
        <f>1622+48</f>
        <v>1670</v>
      </c>
      <c r="O748" s="19">
        <f>N748/J748</f>
        <v>31.509433962264151</v>
      </c>
      <c r="P748" s="39">
        <v>7</v>
      </c>
      <c r="Q748" s="39">
        <v>5</v>
      </c>
      <c r="R748" s="39" t="s">
        <v>1346</v>
      </c>
      <c r="S748" s="39">
        <v>3</v>
      </c>
      <c r="T748" s="39">
        <v>0</v>
      </c>
      <c r="U748" s="39">
        <v>1</v>
      </c>
      <c r="V748" s="39">
        <v>14</v>
      </c>
      <c r="W748" s="19">
        <f>V748/S748</f>
        <v>4.666666666666667</v>
      </c>
      <c r="X748" s="19">
        <f>V748/U748</f>
        <v>14</v>
      </c>
      <c r="Y748" s="20">
        <f>S748*6/U748</f>
        <v>18</v>
      </c>
      <c r="Z748" s="39">
        <v>1</v>
      </c>
      <c r="AA748" s="39">
        <v>0</v>
      </c>
      <c r="AB748" s="39">
        <v>0</v>
      </c>
      <c r="AC748" s="39">
        <v>30</v>
      </c>
    </row>
    <row r="749" spans="1:29" x14ac:dyDescent="0.35">
      <c r="A749" s="15" t="s">
        <v>789</v>
      </c>
      <c r="B749" s="15" t="s">
        <v>96</v>
      </c>
      <c r="C749" s="18">
        <f>D749+E749+F749+G749+H749+I749</f>
        <v>11</v>
      </c>
      <c r="D749" s="22">
        <v>0</v>
      </c>
      <c r="E749" s="22">
        <v>0</v>
      </c>
      <c r="F749" s="22">
        <v>0</v>
      </c>
      <c r="G749" s="22">
        <v>10</v>
      </c>
      <c r="H749" s="22">
        <v>1</v>
      </c>
      <c r="I749" s="22">
        <v>0</v>
      </c>
      <c r="J749" s="22">
        <v>9</v>
      </c>
      <c r="K749" s="18">
        <f>J749+L749</f>
        <v>9</v>
      </c>
      <c r="L749" s="22">
        <v>0</v>
      </c>
      <c r="M749" s="22">
        <v>2</v>
      </c>
      <c r="N749" s="22">
        <v>251</v>
      </c>
      <c r="O749" s="19">
        <f>N749/J749</f>
        <v>27.888888888888889</v>
      </c>
      <c r="P749" s="22">
        <v>1</v>
      </c>
      <c r="Q749" s="22">
        <v>0</v>
      </c>
      <c r="R749" s="22">
        <v>53</v>
      </c>
      <c r="S749" s="22">
        <v>0</v>
      </c>
      <c r="T749" s="22">
        <v>0</v>
      </c>
      <c r="U749" s="22">
        <v>0</v>
      </c>
      <c r="V749" s="22">
        <v>0</v>
      </c>
      <c r="W749" s="18">
        <v>0</v>
      </c>
      <c r="X749" s="18" t="e">
        <f>V749/U749</f>
        <v>#DIV/0!</v>
      </c>
      <c r="Y749" s="18">
        <v>0</v>
      </c>
      <c r="Z749" s="22">
        <v>0</v>
      </c>
      <c r="AA749" s="22">
        <v>0</v>
      </c>
      <c r="AB749" s="22">
        <v>0</v>
      </c>
      <c r="AC749" s="22">
        <v>8</v>
      </c>
    </row>
    <row r="750" spans="1:29" x14ac:dyDescent="0.35">
      <c r="A750" s="1" t="s">
        <v>790</v>
      </c>
      <c r="B750" s="1" t="s">
        <v>134</v>
      </c>
      <c r="C750">
        <f>D750+E750+F750+G750+H750+I750</f>
        <v>2</v>
      </c>
      <c r="D750" s="2">
        <v>2</v>
      </c>
      <c r="E750" s="2">
        <v>0</v>
      </c>
      <c r="F750" s="2">
        <v>0</v>
      </c>
      <c r="G750" s="2">
        <v>0</v>
      </c>
      <c r="H750" s="2">
        <v>0</v>
      </c>
      <c r="I750" s="2">
        <v>0</v>
      </c>
      <c r="J750" s="2">
        <v>2</v>
      </c>
      <c r="K750">
        <f>J750+L750</f>
        <v>2</v>
      </c>
      <c r="L750" s="2">
        <v>0</v>
      </c>
      <c r="M750" s="2">
        <v>0</v>
      </c>
      <c r="N750" s="2">
        <v>10</v>
      </c>
      <c r="O750" s="3">
        <f>N750/J750</f>
        <v>5</v>
      </c>
      <c r="P750" s="2">
        <v>0</v>
      </c>
      <c r="Q750" s="2">
        <v>0</v>
      </c>
      <c r="R750" s="2">
        <v>7</v>
      </c>
      <c r="S750" s="2">
        <v>0</v>
      </c>
      <c r="T750" s="2">
        <v>0</v>
      </c>
      <c r="U750" s="2">
        <v>0</v>
      </c>
      <c r="V750" s="2">
        <v>0</v>
      </c>
      <c r="W750" s="3" t="e">
        <f>V750/S750</f>
        <v>#DIV/0!</v>
      </c>
      <c r="X750" s="3" t="e">
        <f>V750/U750</f>
        <v>#DIV/0!</v>
      </c>
      <c r="Y750" s="4" t="e">
        <f>S750*6/U750</f>
        <v>#DIV/0!</v>
      </c>
      <c r="Z750" s="2">
        <v>0</v>
      </c>
      <c r="AA750" s="2">
        <v>0</v>
      </c>
      <c r="AB750" s="2">
        <v>0</v>
      </c>
      <c r="AC750" s="2">
        <v>0</v>
      </c>
    </row>
    <row r="751" spans="1:29" x14ac:dyDescent="0.35">
      <c r="A751" s="1" t="s">
        <v>791</v>
      </c>
      <c r="B751" s="1" t="s">
        <v>792</v>
      </c>
      <c r="C751">
        <f>D751+E751+F751+G751+H751+I751</f>
        <v>18</v>
      </c>
      <c r="D751" s="2">
        <v>0</v>
      </c>
      <c r="E751" s="2">
        <v>0</v>
      </c>
      <c r="F751" s="2">
        <v>0</v>
      </c>
      <c r="G751" s="2">
        <v>18</v>
      </c>
      <c r="H751" s="2">
        <v>0</v>
      </c>
      <c r="I751" s="2">
        <v>0</v>
      </c>
      <c r="J751" s="2">
        <v>15</v>
      </c>
      <c r="K751">
        <f>J751+L751</f>
        <v>16</v>
      </c>
      <c r="L751" s="2">
        <v>1</v>
      </c>
      <c r="M751" s="2">
        <v>2</v>
      </c>
      <c r="N751" s="2">
        <f>116+39</f>
        <v>155</v>
      </c>
      <c r="O751" s="3">
        <f>N751/J751</f>
        <v>10.333333333333334</v>
      </c>
      <c r="P751" s="2">
        <v>1</v>
      </c>
      <c r="Q751" s="2">
        <v>0</v>
      </c>
      <c r="R751" s="2">
        <v>54</v>
      </c>
      <c r="S751" s="11">
        <v>13</v>
      </c>
      <c r="T751" s="11">
        <v>0</v>
      </c>
      <c r="U751" s="11">
        <v>3</v>
      </c>
      <c r="V751" s="11">
        <v>98</v>
      </c>
      <c r="W751" s="3">
        <f>98/13</f>
        <v>7.5384615384615383</v>
      </c>
      <c r="X751" s="3">
        <v>32.67</v>
      </c>
      <c r="Y751" s="4">
        <f>S751*6/U751</f>
        <v>26</v>
      </c>
      <c r="Z751" s="11" t="s">
        <v>1153</v>
      </c>
      <c r="AA751" s="11">
        <v>0</v>
      </c>
      <c r="AB751" s="2">
        <v>0</v>
      </c>
      <c r="AC751" s="2">
        <v>5</v>
      </c>
    </row>
    <row r="752" spans="1:29" x14ac:dyDescent="0.35">
      <c r="A752" s="1" t="s">
        <v>791</v>
      </c>
      <c r="B752" s="1" t="s">
        <v>793</v>
      </c>
      <c r="C752">
        <f>D752+E752+F752+G752+H752+I752</f>
        <v>5</v>
      </c>
      <c r="D752" s="2">
        <v>0</v>
      </c>
      <c r="E752" s="2">
        <v>2</v>
      </c>
      <c r="F752" s="2">
        <v>3</v>
      </c>
      <c r="G752" s="2">
        <v>0</v>
      </c>
      <c r="H752" s="2">
        <v>0</v>
      </c>
      <c r="I752" s="2">
        <v>0</v>
      </c>
      <c r="J752" s="2">
        <v>3</v>
      </c>
      <c r="K752">
        <f>J752+L752</f>
        <v>4</v>
      </c>
      <c r="L752" s="2">
        <v>1</v>
      </c>
      <c r="M752" s="2">
        <v>2</v>
      </c>
      <c r="N752" s="2">
        <v>35</v>
      </c>
      <c r="O752" s="3">
        <f>N752/J752</f>
        <v>11.666666666666666</v>
      </c>
      <c r="P752" s="2">
        <v>0</v>
      </c>
      <c r="Q752" s="2">
        <v>0</v>
      </c>
      <c r="R752" s="2">
        <v>25</v>
      </c>
      <c r="S752" s="40">
        <v>27</v>
      </c>
      <c r="T752" s="40">
        <v>1</v>
      </c>
      <c r="U752" s="40">
        <v>3</v>
      </c>
      <c r="V752" s="40">
        <v>119</v>
      </c>
      <c r="W752" s="3">
        <f>V752/S752</f>
        <v>4.4074074074074074</v>
      </c>
      <c r="X752" s="3">
        <f>V752/U752</f>
        <v>39.666666666666664</v>
      </c>
      <c r="Y752" s="4">
        <f>S752*6/U752</f>
        <v>54</v>
      </c>
      <c r="Z752" s="40">
        <v>1</v>
      </c>
      <c r="AA752" s="40">
        <v>0</v>
      </c>
      <c r="AB752" s="2">
        <v>0</v>
      </c>
      <c r="AC752" s="2">
        <v>0</v>
      </c>
    </row>
    <row r="753" spans="1:29" x14ac:dyDescent="0.35">
      <c r="A753" s="1" t="s">
        <v>794</v>
      </c>
      <c r="B753" s="1" t="s">
        <v>795</v>
      </c>
      <c r="C753">
        <f>D753+E753+F753+G753+H753+I753</f>
        <v>11</v>
      </c>
      <c r="D753" s="2">
        <v>0</v>
      </c>
      <c r="E753" s="2">
        <v>1</v>
      </c>
      <c r="F753" s="2">
        <v>10</v>
      </c>
      <c r="G753" s="2">
        <v>0</v>
      </c>
      <c r="H753" s="2">
        <v>0</v>
      </c>
      <c r="I753" s="2">
        <v>0</v>
      </c>
      <c r="J753" s="2">
        <v>3</v>
      </c>
      <c r="K753">
        <f>J753+L753</f>
        <v>13</v>
      </c>
      <c r="L753" s="2">
        <v>10</v>
      </c>
      <c r="M753" s="2">
        <v>7</v>
      </c>
      <c r="N753" s="2">
        <v>33</v>
      </c>
      <c r="O753" s="3">
        <f>N753/J753</f>
        <v>11</v>
      </c>
      <c r="P753" s="2">
        <v>0</v>
      </c>
      <c r="Q753" s="2">
        <v>0</v>
      </c>
      <c r="R753" s="2">
        <v>9</v>
      </c>
      <c r="S753" s="2">
        <v>124</v>
      </c>
      <c r="T753" s="2">
        <v>14</v>
      </c>
      <c r="U753" s="2">
        <v>6</v>
      </c>
      <c r="V753" s="2">
        <v>446</v>
      </c>
      <c r="W753" s="3">
        <f>V753/S753</f>
        <v>3.596774193548387</v>
      </c>
      <c r="X753" s="3">
        <f>V753/U753</f>
        <v>74.333333333333329</v>
      </c>
      <c r="Y753" s="4">
        <f>S753*6/U753</f>
        <v>124</v>
      </c>
      <c r="Z753" s="2">
        <v>2</v>
      </c>
      <c r="AA753" s="2">
        <v>0</v>
      </c>
      <c r="AB753" s="2">
        <v>0</v>
      </c>
      <c r="AC753" s="2">
        <v>3</v>
      </c>
    </row>
    <row r="754" spans="1:29" x14ac:dyDescent="0.35">
      <c r="A754" s="1" t="s">
        <v>796</v>
      </c>
      <c r="B754" s="1" t="s">
        <v>134</v>
      </c>
      <c r="C754">
        <f>D754+E754+F754+G754+H754+I754</f>
        <v>202</v>
      </c>
      <c r="D754" s="2">
        <v>0</v>
      </c>
      <c r="E754" s="2">
        <v>1</v>
      </c>
      <c r="F754" s="2">
        <v>8</v>
      </c>
      <c r="G754" s="2">
        <v>55</v>
      </c>
      <c r="H754" s="2">
        <v>80</v>
      </c>
      <c r="I754" s="2">
        <v>58</v>
      </c>
      <c r="J754" s="2">
        <v>141</v>
      </c>
      <c r="K754">
        <f>J754+L754</f>
        <v>170</v>
      </c>
      <c r="L754" s="2">
        <v>29</v>
      </c>
      <c r="M754" s="2">
        <v>54</v>
      </c>
      <c r="N754" s="2">
        <v>1885</v>
      </c>
      <c r="O754" s="3">
        <f>N754/J754</f>
        <v>13.368794326241135</v>
      </c>
      <c r="P754" s="2">
        <v>1</v>
      </c>
      <c r="Q754" s="2">
        <v>0</v>
      </c>
      <c r="R754" s="2">
        <v>55</v>
      </c>
      <c r="S754" s="2">
        <v>65</v>
      </c>
      <c r="T754" s="2">
        <v>3</v>
      </c>
      <c r="U754" s="2">
        <v>12</v>
      </c>
      <c r="V754" s="2">
        <v>360</v>
      </c>
      <c r="W754" s="3">
        <f>V754/S754</f>
        <v>5.5384615384615383</v>
      </c>
      <c r="X754" s="3">
        <f>V754/U754</f>
        <v>30</v>
      </c>
      <c r="Y754" s="4">
        <f>S754*6/U754</f>
        <v>32.5</v>
      </c>
      <c r="Z754" s="2">
        <v>2</v>
      </c>
      <c r="AA754" s="2">
        <v>0</v>
      </c>
      <c r="AB754" s="2">
        <v>0</v>
      </c>
      <c r="AC754" s="2">
        <v>30</v>
      </c>
    </row>
    <row r="755" spans="1:29" x14ac:dyDescent="0.35">
      <c r="A755" s="1" t="s">
        <v>796</v>
      </c>
      <c r="B755" s="1" t="s">
        <v>323</v>
      </c>
      <c r="C755">
        <f>D755+E755+F755+G755+H755+I755</f>
        <v>1</v>
      </c>
      <c r="D755" s="2">
        <v>0</v>
      </c>
      <c r="E755" s="2">
        <v>0</v>
      </c>
      <c r="F755" s="2">
        <v>0</v>
      </c>
      <c r="G755" s="2">
        <v>0</v>
      </c>
      <c r="H755" s="2">
        <v>0</v>
      </c>
      <c r="I755" s="2">
        <v>1</v>
      </c>
      <c r="J755" s="2">
        <v>1</v>
      </c>
      <c r="K755">
        <f>J755+L755</f>
        <v>1</v>
      </c>
      <c r="L755" s="2">
        <v>0</v>
      </c>
      <c r="M755" s="2">
        <v>0</v>
      </c>
      <c r="N755" s="2">
        <v>40</v>
      </c>
      <c r="O755" s="3">
        <f>N755/J755</f>
        <v>40</v>
      </c>
      <c r="P755" s="2">
        <v>0</v>
      </c>
      <c r="Q755" s="2">
        <v>0</v>
      </c>
      <c r="R755" s="2">
        <v>40</v>
      </c>
      <c r="S755" s="2">
        <v>3</v>
      </c>
      <c r="T755" s="2">
        <v>0</v>
      </c>
      <c r="U755" s="2">
        <v>0</v>
      </c>
      <c r="V755" s="2">
        <v>10</v>
      </c>
      <c r="W755" s="3">
        <f>V755/S755</f>
        <v>3.3333333333333335</v>
      </c>
      <c r="X755" s="3" t="e">
        <f>V755/U755</f>
        <v>#DIV/0!</v>
      </c>
      <c r="Y755" s="4" t="e">
        <f>S755*6/U755</f>
        <v>#DIV/0!</v>
      </c>
      <c r="Z755" s="2">
        <v>0</v>
      </c>
      <c r="AA755" s="2">
        <v>0</v>
      </c>
      <c r="AB755" s="2">
        <v>0</v>
      </c>
      <c r="AC755" s="2">
        <v>0</v>
      </c>
    </row>
    <row r="756" spans="1:29" x14ac:dyDescent="0.35">
      <c r="A756" s="1" t="s">
        <v>797</v>
      </c>
      <c r="B756" s="1" t="s">
        <v>226</v>
      </c>
      <c r="C756">
        <f>D756+E756+F756+G756+H756+I756</f>
        <v>6</v>
      </c>
      <c r="D756" s="2">
        <v>0</v>
      </c>
      <c r="E756" s="2">
        <v>1</v>
      </c>
      <c r="F756" s="2">
        <v>5</v>
      </c>
      <c r="G756" s="2">
        <v>0</v>
      </c>
      <c r="H756" s="2">
        <v>0</v>
      </c>
      <c r="I756" s="2">
        <v>0</v>
      </c>
      <c r="J756" s="2">
        <v>7</v>
      </c>
      <c r="K756">
        <f>J756+L756</f>
        <v>8</v>
      </c>
      <c r="L756" s="2">
        <v>1</v>
      </c>
      <c r="M756" s="2">
        <v>4</v>
      </c>
      <c r="N756" s="2">
        <v>5</v>
      </c>
      <c r="O756" s="3">
        <f>N756/J756</f>
        <v>0.7142857142857143</v>
      </c>
      <c r="P756" s="2">
        <v>0</v>
      </c>
      <c r="Q756" s="2">
        <v>0</v>
      </c>
      <c r="R756" s="2">
        <v>3</v>
      </c>
      <c r="S756" s="2">
        <v>0</v>
      </c>
      <c r="T756" s="2">
        <v>0</v>
      </c>
      <c r="U756" s="2">
        <v>0</v>
      </c>
      <c r="V756" s="2">
        <v>0</v>
      </c>
      <c r="W756" s="3" t="e">
        <f>V756/S756</f>
        <v>#DIV/0!</v>
      </c>
      <c r="X756" s="3" t="e">
        <f>V756/U756</f>
        <v>#DIV/0!</v>
      </c>
      <c r="Y756" s="4" t="e">
        <f>S756*6/U756</f>
        <v>#DIV/0!</v>
      </c>
      <c r="Z756" s="2">
        <v>0</v>
      </c>
      <c r="AA756" s="2">
        <v>0</v>
      </c>
      <c r="AB756" s="2">
        <v>0</v>
      </c>
      <c r="AC756" s="2">
        <v>1</v>
      </c>
    </row>
    <row r="757" spans="1:29" x14ac:dyDescent="0.35">
      <c r="A757" s="11" t="s">
        <v>1233</v>
      </c>
      <c r="B757" s="11" t="s">
        <v>1234</v>
      </c>
      <c r="C757">
        <f>D757+E757+F757+G757+H757+I757</f>
        <v>8</v>
      </c>
      <c r="D757" s="2">
        <v>0</v>
      </c>
      <c r="E757" s="2">
        <v>0</v>
      </c>
      <c r="F757" s="2">
        <v>8</v>
      </c>
      <c r="G757" s="2">
        <v>0</v>
      </c>
      <c r="H757" s="2">
        <v>0</v>
      </c>
      <c r="I757" s="2">
        <v>0</v>
      </c>
      <c r="J757" s="2">
        <v>7</v>
      </c>
      <c r="K757">
        <f>J757+L757</f>
        <v>7</v>
      </c>
      <c r="L757" s="11">
        <v>0</v>
      </c>
      <c r="M757" s="2">
        <v>1</v>
      </c>
      <c r="N757" s="2">
        <v>234</v>
      </c>
      <c r="O757" s="3">
        <f>N757/J757</f>
        <v>33.428571428571431</v>
      </c>
      <c r="P757" s="2">
        <v>0</v>
      </c>
      <c r="Q757" s="2">
        <v>1</v>
      </c>
      <c r="R757" s="2">
        <v>103</v>
      </c>
      <c r="S757" s="11">
        <v>28</v>
      </c>
      <c r="T757" s="11">
        <v>4</v>
      </c>
      <c r="U757" s="11">
        <v>5</v>
      </c>
      <c r="V757" s="11">
        <v>122</v>
      </c>
      <c r="W757" s="3">
        <f>V757/S757</f>
        <v>4.3571428571428568</v>
      </c>
      <c r="X757" s="3">
        <f>V757/U757</f>
        <v>24.4</v>
      </c>
      <c r="Y757" s="3">
        <f>168/U757</f>
        <v>33.6</v>
      </c>
      <c r="Z757" s="11" t="s">
        <v>1200</v>
      </c>
      <c r="AA757" s="11">
        <v>0</v>
      </c>
      <c r="AB757" s="11">
        <v>0</v>
      </c>
      <c r="AC757" s="11">
        <v>3</v>
      </c>
    </row>
    <row r="758" spans="1:29" x14ac:dyDescent="0.35">
      <c r="A758" s="34" t="s">
        <v>798</v>
      </c>
      <c r="B758" s="34" t="s">
        <v>588</v>
      </c>
      <c r="C758">
        <f>D758+E758+F758+G758+H758+I758</f>
        <v>5</v>
      </c>
      <c r="D758" s="5">
        <v>0</v>
      </c>
      <c r="E758" s="5">
        <v>2</v>
      </c>
      <c r="F758" s="5">
        <v>3</v>
      </c>
      <c r="G758" s="5">
        <v>0</v>
      </c>
      <c r="H758" s="5">
        <v>0</v>
      </c>
      <c r="I758" s="5">
        <v>0</v>
      </c>
      <c r="J758" s="5">
        <v>6</v>
      </c>
      <c r="K758">
        <f>J758+L758</f>
        <v>6</v>
      </c>
      <c r="L758" s="40">
        <v>0</v>
      </c>
      <c r="M758" s="5">
        <v>0</v>
      </c>
      <c r="N758" s="5">
        <v>58</v>
      </c>
      <c r="O758" s="3">
        <f>N758/J758</f>
        <v>9.6666666666666661</v>
      </c>
      <c r="P758" s="5">
        <v>0</v>
      </c>
      <c r="Q758" s="5">
        <v>0</v>
      </c>
      <c r="R758" s="5">
        <v>30</v>
      </c>
      <c r="S758" s="40">
        <v>0</v>
      </c>
      <c r="T758" s="40">
        <v>0</v>
      </c>
      <c r="U758" s="40">
        <v>0</v>
      </c>
      <c r="V758" s="40">
        <v>0</v>
      </c>
      <c r="W758" s="3" t="e">
        <f>V758/S758</f>
        <v>#DIV/0!</v>
      </c>
      <c r="X758" s="3" t="e">
        <f>V758/U758</f>
        <v>#DIV/0!</v>
      </c>
      <c r="Y758" s="4" t="e">
        <f>S758*6/U758</f>
        <v>#DIV/0!</v>
      </c>
      <c r="Z758" s="40">
        <v>0</v>
      </c>
      <c r="AA758" s="40">
        <v>0</v>
      </c>
      <c r="AB758" s="40">
        <v>0</v>
      </c>
      <c r="AC758" s="40">
        <v>2</v>
      </c>
    </row>
    <row r="759" spans="1:29" x14ac:dyDescent="0.35">
      <c r="A759" s="1" t="s">
        <v>798</v>
      </c>
      <c r="B759" s="1" t="s">
        <v>94</v>
      </c>
      <c r="C759">
        <f>D759+E759+F759+G759+H759+I759</f>
        <v>1</v>
      </c>
      <c r="D759" s="2">
        <v>0</v>
      </c>
      <c r="E759" s="2">
        <v>0</v>
      </c>
      <c r="F759" s="2">
        <v>0</v>
      </c>
      <c r="G759" s="2">
        <v>1</v>
      </c>
      <c r="H759" s="2">
        <v>0</v>
      </c>
      <c r="I759" s="2">
        <v>0</v>
      </c>
      <c r="J759" s="2">
        <v>0</v>
      </c>
      <c r="K759">
        <f>J759+L759</f>
        <v>0</v>
      </c>
      <c r="L759" s="2">
        <v>0</v>
      </c>
      <c r="M759" s="2">
        <v>0</v>
      </c>
      <c r="N759" s="2">
        <v>0</v>
      </c>
      <c r="O759" s="3" t="e">
        <f>N759/J759</f>
        <v>#DIV/0!</v>
      </c>
      <c r="P759" s="2">
        <v>0</v>
      </c>
      <c r="Q759" s="2">
        <v>0</v>
      </c>
      <c r="R759" s="2">
        <v>0</v>
      </c>
      <c r="S759" s="2">
        <v>5</v>
      </c>
      <c r="T759" s="2">
        <v>0</v>
      </c>
      <c r="U759" s="2">
        <v>2</v>
      </c>
      <c r="V759" s="2">
        <v>13</v>
      </c>
      <c r="W759" s="3">
        <f>V759/S759</f>
        <v>2.6</v>
      </c>
      <c r="X759" s="3">
        <f>V759/U759</f>
        <v>6.5</v>
      </c>
      <c r="Y759" s="4">
        <f>S759*6/U759</f>
        <v>15</v>
      </c>
      <c r="Z759" s="2">
        <v>2</v>
      </c>
      <c r="AA759" s="2">
        <v>0</v>
      </c>
      <c r="AB759" s="2">
        <v>0</v>
      </c>
      <c r="AC759" s="2">
        <v>0</v>
      </c>
    </row>
    <row r="760" spans="1:29" x14ac:dyDescent="0.35">
      <c r="A760" s="1" t="s">
        <v>798</v>
      </c>
      <c r="B760" s="1" t="s">
        <v>42</v>
      </c>
      <c r="C760">
        <f>D760+E760+F760+G760+H760+I760</f>
        <v>1</v>
      </c>
      <c r="D760" s="2">
        <v>0</v>
      </c>
      <c r="E760" s="2">
        <v>0</v>
      </c>
      <c r="F760" s="2">
        <v>0</v>
      </c>
      <c r="G760" s="2">
        <v>0</v>
      </c>
      <c r="H760" s="2">
        <v>1</v>
      </c>
      <c r="I760" s="2">
        <v>0</v>
      </c>
      <c r="J760" s="2">
        <v>1</v>
      </c>
      <c r="K760">
        <f>J760+L760</f>
        <v>1</v>
      </c>
      <c r="L760" s="2">
        <v>0</v>
      </c>
      <c r="M760" s="2">
        <v>0</v>
      </c>
      <c r="N760" s="2">
        <v>1</v>
      </c>
      <c r="O760" s="3">
        <f>N760/J760</f>
        <v>1</v>
      </c>
      <c r="P760" s="2">
        <v>0</v>
      </c>
      <c r="Q760" s="2">
        <v>0</v>
      </c>
      <c r="R760" s="2">
        <v>1</v>
      </c>
      <c r="S760" s="2">
        <v>0</v>
      </c>
      <c r="T760" s="2">
        <v>0</v>
      </c>
      <c r="U760" s="2">
        <v>0</v>
      </c>
      <c r="V760" s="2">
        <v>0</v>
      </c>
      <c r="W760" s="3" t="e">
        <f>V760/S760</f>
        <v>#DIV/0!</v>
      </c>
      <c r="X760" s="3" t="e">
        <f>V760/U760</f>
        <v>#DIV/0!</v>
      </c>
      <c r="Y760" s="4" t="e">
        <f>S760*6/U760</f>
        <v>#DIV/0!</v>
      </c>
      <c r="Z760" s="2">
        <v>0</v>
      </c>
      <c r="AA760" s="2">
        <v>0</v>
      </c>
      <c r="AB760" s="2">
        <v>0</v>
      </c>
      <c r="AC760" s="2">
        <v>0</v>
      </c>
    </row>
    <row r="761" spans="1:29" x14ac:dyDescent="0.35">
      <c r="A761" s="1" t="s">
        <v>799</v>
      </c>
      <c r="B761" s="1" t="s">
        <v>190</v>
      </c>
      <c r="C761">
        <f>D761+E761+F761+G761+H761+I761</f>
        <v>14</v>
      </c>
      <c r="D761" s="2">
        <v>5</v>
      </c>
      <c r="E761" s="2">
        <v>5</v>
      </c>
      <c r="F761" s="2">
        <v>4</v>
      </c>
      <c r="G761" s="2">
        <v>0</v>
      </c>
      <c r="H761" s="2">
        <v>0</v>
      </c>
      <c r="I761" s="2">
        <v>0</v>
      </c>
      <c r="J761" s="2">
        <v>12</v>
      </c>
      <c r="K761">
        <f>J761+L761</f>
        <v>14</v>
      </c>
      <c r="L761" s="2">
        <v>2</v>
      </c>
      <c r="M761" s="2">
        <v>0</v>
      </c>
      <c r="N761" s="2">
        <v>387</v>
      </c>
      <c r="O761" s="3">
        <f>N761/J761</f>
        <v>32.25</v>
      </c>
      <c r="P761" s="2">
        <v>1</v>
      </c>
      <c r="Q761" s="2">
        <v>1</v>
      </c>
      <c r="R761" s="2">
        <v>150</v>
      </c>
      <c r="S761" s="2">
        <v>28</v>
      </c>
      <c r="T761" s="2">
        <v>0</v>
      </c>
      <c r="U761" s="2">
        <v>2</v>
      </c>
      <c r="V761" s="2">
        <v>120</v>
      </c>
      <c r="W761" s="3">
        <f>V761/S761</f>
        <v>4.2857142857142856</v>
      </c>
      <c r="X761" s="3">
        <f>V761/U761</f>
        <v>60</v>
      </c>
      <c r="Y761" s="4">
        <f>S761*6/U761</f>
        <v>84</v>
      </c>
      <c r="Z761" s="2">
        <v>2</v>
      </c>
      <c r="AA761" s="2">
        <v>0</v>
      </c>
      <c r="AB761" s="2">
        <v>0</v>
      </c>
      <c r="AC761" s="2">
        <v>8</v>
      </c>
    </row>
    <row r="762" spans="1:29" x14ac:dyDescent="0.35">
      <c r="A762" s="1" t="s">
        <v>799</v>
      </c>
      <c r="B762" s="1" t="s">
        <v>77</v>
      </c>
      <c r="C762">
        <f>D762+E762+F762+G762+H762+I762</f>
        <v>2</v>
      </c>
      <c r="D762" s="2">
        <v>0</v>
      </c>
      <c r="E762" s="2">
        <v>0</v>
      </c>
      <c r="F762" s="2">
        <v>1</v>
      </c>
      <c r="G762" s="2">
        <v>0</v>
      </c>
      <c r="H762" s="2">
        <v>0</v>
      </c>
      <c r="I762" s="2">
        <v>1</v>
      </c>
      <c r="J762" s="2">
        <v>1</v>
      </c>
      <c r="K762">
        <f>J762+L762</f>
        <v>1</v>
      </c>
      <c r="L762" s="2">
        <v>0</v>
      </c>
      <c r="M762" s="2">
        <v>1</v>
      </c>
      <c r="N762" s="2">
        <v>0</v>
      </c>
      <c r="O762" s="3">
        <f>N762/J762</f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>
        <v>0</v>
      </c>
      <c r="V762" s="2">
        <v>0</v>
      </c>
      <c r="W762" s="3" t="e">
        <f>V762/S762</f>
        <v>#DIV/0!</v>
      </c>
      <c r="X762" s="3" t="e">
        <f>V762/U762</f>
        <v>#DIV/0!</v>
      </c>
      <c r="Y762" s="4" t="e">
        <f>S762*6/U762</f>
        <v>#DIV/0!</v>
      </c>
      <c r="Z762" s="2">
        <v>0</v>
      </c>
      <c r="AA762" s="2">
        <v>0</v>
      </c>
      <c r="AB762" s="2">
        <v>0</v>
      </c>
      <c r="AC762" s="2">
        <v>0</v>
      </c>
    </row>
    <row r="763" spans="1:29" x14ac:dyDescent="0.35">
      <c r="A763" s="1" t="s">
        <v>800</v>
      </c>
      <c r="B763" s="1" t="s">
        <v>295</v>
      </c>
      <c r="C763">
        <f>D763+E763+F763+G763+H763+I763</f>
        <v>14</v>
      </c>
      <c r="D763" s="2">
        <v>0</v>
      </c>
      <c r="E763" s="2">
        <v>6</v>
      </c>
      <c r="F763" s="2">
        <v>5</v>
      </c>
      <c r="G763" s="2">
        <v>3</v>
      </c>
      <c r="H763" s="2">
        <v>0</v>
      </c>
      <c r="I763" s="2">
        <v>0</v>
      </c>
      <c r="J763" s="2">
        <v>15</v>
      </c>
      <c r="K763">
        <f>J763+L763</f>
        <v>17</v>
      </c>
      <c r="L763" s="2">
        <v>2</v>
      </c>
      <c r="M763" s="2">
        <v>2</v>
      </c>
      <c r="N763" s="2">
        <v>277</v>
      </c>
      <c r="O763" s="3">
        <f>N763/J763</f>
        <v>18.466666666666665</v>
      </c>
      <c r="P763" s="2">
        <v>1</v>
      </c>
      <c r="Q763" s="2">
        <v>0</v>
      </c>
      <c r="R763" s="2">
        <v>88</v>
      </c>
      <c r="S763" s="2">
        <v>22</v>
      </c>
      <c r="T763" s="2">
        <v>3</v>
      </c>
      <c r="U763" s="2">
        <v>5</v>
      </c>
      <c r="V763" s="2">
        <v>102</v>
      </c>
      <c r="W763" s="3">
        <f>V763/S763</f>
        <v>4.6363636363636367</v>
      </c>
      <c r="X763" s="3">
        <f>V763/U763</f>
        <v>20.399999999999999</v>
      </c>
      <c r="Y763" s="4">
        <f>S763*6/U763</f>
        <v>26.4</v>
      </c>
      <c r="Z763" s="2">
        <v>2</v>
      </c>
      <c r="AA763" s="2">
        <v>0</v>
      </c>
      <c r="AB763" s="2">
        <v>0</v>
      </c>
      <c r="AC763" s="2">
        <v>1</v>
      </c>
    </row>
    <row r="764" spans="1:29" x14ac:dyDescent="0.35">
      <c r="A764" s="1" t="s">
        <v>801</v>
      </c>
      <c r="B764" s="1" t="s">
        <v>16</v>
      </c>
      <c r="C764">
        <f>D764+E764+F764+G764+H764+I764</f>
        <v>62</v>
      </c>
      <c r="D764" s="2">
        <v>15</v>
      </c>
      <c r="E764" s="2">
        <v>38</v>
      </c>
      <c r="F764" s="2">
        <v>6</v>
      </c>
      <c r="G764" s="2">
        <v>1</v>
      </c>
      <c r="H764" s="2">
        <v>1</v>
      </c>
      <c r="I764" s="2">
        <v>1</v>
      </c>
      <c r="J764" s="2">
        <v>39</v>
      </c>
      <c r="K764">
        <f>J764+L764</f>
        <v>53</v>
      </c>
      <c r="L764" s="2">
        <v>14</v>
      </c>
      <c r="M764" s="2">
        <v>14</v>
      </c>
      <c r="N764" s="2">
        <v>689</v>
      </c>
      <c r="O764" s="3">
        <f>N764/J764</f>
        <v>17.666666666666668</v>
      </c>
      <c r="P764" s="2">
        <v>2</v>
      </c>
      <c r="Q764" s="2">
        <v>0</v>
      </c>
      <c r="R764" s="2">
        <v>54</v>
      </c>
      <c r="S764" s="2">
        <v>698</v>
      </c>
      <c r="T764" s="2">
        <v>173</v>
      </c>
      <c r="U764" s="2">
        <v>96</v>
      </c>
      <c r="V764" s="2">
        <v>1921</v>
      </c>
      <c r="W764" s="3">
        <f>V764/S764</f>
        <v>2.7521489971346704</v>
      </c>
      <c r="X764" s="3">
        <f>V764/U764</f>
        <v>20.010416666666668</v>
      </c>
      <c r="Y764" s="4">
        <f>S764*6/U764</f>
        <v>43.625</v>
      </c>
      <c r="Z764" s="2">
        <v>5</v>
      </c>
      <c r="AA764" s="2">
        <v>2</v>
      </c>
      <c r="AB764" s="2">
        <v>0</v>
      </c>
      <c r="AC764" s="2">
        <v>10</v>
      </c>
    </row>
    <row r="765" spans="1:29" x14ac:dyDescent="0.35">
      <c r="A765" s="1" t="s">
        <v>801</v>
      </c>
      <c r="B765" s="1" t="s">
        <v>802</v>
      </c>
      <c r="C765">
        <f>D765+E765+F765+G765+H765+I765</f>
        <v>30</v>
      </c>
      <c r="D765" s="2">
        <v>0</v>
      </c>
      <c r="E765" s="2">
        <v>19</v>
      </c>
      <c r="F765" s="2">
        <v>0</v>
      </c>
      <c r="G765" s="2">
        <v>0</v>
      </c>
      <c r="H765" s="2">
        <v>11</v>
      </c>
      <c r="I765" s="2">
        <v>0</v>
      </c>
      <c r="J765" s="2">
        <v>15</v>
      </c>
      <c r="K765">
        <f>J765+L765</f>
        <v>19</v>
      </c>
      <c r="L765" s="2">
        <v>4</v>
      </c>
      <c r="M765" s="2">
        <v>12</v>
      </c>
      <c r="N765" s="2">
        <v>156</v>
      </c>
      <c r="O765" s="3">
        <f>N765/J765</f>
        <v>10.4</v>
      </c>
      <c r="P765" s="2">
        <v>0</v>
      </c>
      <c r="Q765" s="2">
        <v>0</v>
      </c>
      <c r="R765" s="2">
        <v>26</v>
      </c>
      <c r="S765" s="2">
        <v>343</v>
      </c>
      <c r="T765" s="2">
        <v>81</v>
      </c>
      <c r="U765" s="2">
        <v>45</v>
      </c>
      <c r="V765" s="2">
        <v>973</v>
      </c>
      <c r="W765" s="3">
        <f>V765/S765</f>
        <v>2.8367346938775508</v>
      </c>
      <c r="X765" s="3">
        <f>V765/U765</f>
        <v>21.622222222222224</v>
      </c>
      <c r="Y765" s="4">
        <f>S765*6/U765</f>
        <v>45.733333333333334</v>
      </c>
      <c r="Z765" s="2">
        <v>6</v>
      </c>
      <c r="AA765" s="2">
        <v>1</v>
      </c>
      <c r="AB765" s="2">
        <v>0</v>
      </c>
      <c r="AC765" s="2">
        <v>6</v>
      </c>
    </row>
    <row r="766" spans="1:29" x14ac:dyDescent="0.35">
      <c r="A766" s="1" t="s">
        <v>801</v>
      </c>
      <c r="B766" s="1" t="s">
        <v>807</v>
      </c>
      <c r="C766">
        <f>D766+E766+F766+G766+H766+I766</f>
        <v>4</v>
      </c>
      <c r="D766" s="2">
        <v>0</v>
      </c>
      <c r="E766" s="2">
        <v>0</v>
      </c>
      <c r="F766" s="2">
        <v>0</v>
      </c>
      <c r="G766" s="2">
        <v>0</v>
      </c>
      <c r="H766" s="2">
        <v>2</v>
      </c>
      <c r="I766" s="2">
        <v>2</v>
      </c>
      <c r="J766" s="2">
        <v>4</v>
      </c>
      <c r="K766">
        <f>J766+L766</f>
        <v>4</v>
      </c>
      <c r="L766" s="2">
        <v>0</v>
      </c>
      <c r="M766" s="2">
        <v>0</v>
      </c>
      <c r="N766" s="2">
        <v>40</v>
      </c>
      <c r="O766" s="3">
        <f>N766/J766</f>
        <v>10</v>
      </c>
      <c r="P766" s="2">
        <v>0</v>
      </c>
      <c r="Q766" s="2">
        <v>0</v>
      </c>
      <c r="R766" s="2">
        <v>21</v>
      </c>
      <c r="S766" s="2">
        <v>4</v>
      </c>
      <c r="T766" s="2">
        <v>0</v>
      </c>
      <c r="U766" s="2">
        <v>0</v>
      </c>
      <c r="V766" s="2">
        <v>7</v>
      </c>
      <c r="W766" s="3">
        <f>V766/S766</f>
        <v>1.75</v>
      </c>
      <c r="X766" s="3" t="e">
        <f>V766/U766</f>
        <v>#DIV/0!</v>
      </c>
      <c r="Y766" s="4" t="e">
        <f>S766*6/U766</f>
        <v>#DIV/0!</v>
      </c>
      <c r="Z766" s="2">
        <v>0</v>
      </c>
      <c r="AA766" s="2">
        <v>0</v>
      </c>
      <c r="AB766" s="2">
        <v>0</v>
      </c>
      <c r="AC766" s="2">
        <v>1</v>
      </c>
    </row>
    <row r="767" spans="1:29" x14ac:dyDescent="0.35">
      <c r="A767" s="1" t="s">
        <v>801</v>
      </c>
      <c r="B767" s="1" t="s">
        <v>803</v>
      </c>
      <c r="C767">
        <f>D767+E767+F767+G767+H767+I767</f>
        <v>1</v>
      </c>
      <c r="D767" s="2">
        <v>0</v>
      </c>
      <c r="E767" s="2">
        <v>0</v>
      </c>
      <c r="F767" s="2">
        <v>0</v>
      </c>
      <c r="G767" s="2">
        <v>0</v>
      </c>
      <c r="H767" s="2">
        <v>1</v>
      </c>
      <c r="I767" s="2">
        <v>0</v>
      </c>
      <c r="J767" s="2">
        <v>1</v>
      </c>
      <c r="K767">
        <f>J767+L767</f>
        <v>1</v>
      </c>
      <c r="L767" s="2">
        <v>0</v>
      </c>
      <c r="M767" s="2">
        <v>0</v>
      </c>
      <c r="N767" s="2">
        <v>6</v>
      </c>
      <c r="O767" s="3">
        <f>N767/J767</f>
        <v>6</v>
      </c>
      <c r="P767" s="2">
        <v>0</v>
      </c>
      <c r="Q767" s="2">
        <v>0</v>
      </c>
      <c r="R767" s="2">
        <v>6</v>
      </c>
      <c r="S767" s="2">
        <v>6</v>
      </c>
      <c r="T767" s="2">
        <v>0</v>
      </c>
      <c r="U767" s="2">
        <v>2</v>
      </c>
      <c r="V767" s="2">
        <v>17</v>
      </c>
      <c r="W767" s="3">
        <f>V767/S767</f>
        <v>2.8333333333333335</v>
      </c>
      <c r="X767" s="3">
        <f>V767/U767</f>
        <v>8.5</v>
      </c>
      <c r="Y767" s="4">
        <f>S767*6/U767</f>
        <v>18</v>
      </c>
      <c r="Z767" s="2">
        <v>2</v>
      </c>
      <c r="AA767" s="2">
        <v>0</v>
      </c>
      <c r="AB767" s="2">
        <v>0</v>
      </c>
      <c r="AC767" s="2">
        <v>0</v>
      </c>
    </row>
    <row r="768" spans="1:29" x14ac:dyDescent="0.35">
      <c r="A768" s="1" t="s">
        <v>801</v>
      </c>
      <c r="B768" s="1" t="s">
        <v>804</v>
      </c>
      <c r="C768">
        <f>D768+E768+F768+G768+H768+I768</f>
        <v>3</v>
      </c>
      <c r="D768" s="2">
        <v>0</v>
      </c>
      <c r="E768" s="2">
        <v>0</v>
      </c>
      <c r="F768" s="2">
        <v>1</v>
      </c>
      <c r="G768" s="2">
        <v>2</v>
      </c>
      <c r="H768" s="2">
        <v>0</v>
      </c>
      <c r="I768" s="2">
        <v>0</v>
      </c>
      <c r="J768" s="2">
        <v>2</v>
      </c>
      <c r="K768">
        <f>J768+L768</f>
        <v>3</v>
      </c>
      <c r="L768" s="2">
        <v>1</v>
      </c>
      <c r="M768" s="2">
        <v>0</v>
      </c>
      <c r="N768" s="2">
        <v>61</v>
      </c>
      <c r="O768" s="3">
        <f>N768/J768</f>
        <v>30.5</v>
      </c>
      <c r="P768" s="2">
        <v>0</v>
      </c>
      <c r="Q768" s="2">
        <v>0</v>
      </c>
      <c r="R768" s="2">
        <v>28</v>
      </c>
      <c r="S768" s="2">
        <v>0</v>
      </c>
      <c r="T768" s="2">
        <v>0</v>
      </c>
      <c r="U768" s="2">
        <v>0</v>
      </c>
      <c r="V768" s="2">
        <v>0</v>
      </c>
      <c r="W768" s="3" t="e">
        <f>V768/S768</f>
        <v>#DIV/0!</v>
      </c>
      <c r="X768" s="3" t="e">
        <f>V768/U768</f>
        <v>#DIV/0!</v>
      </c>
      <c r="Y768" s="4" t="e">
        <f>S768*6/U768</f>
        <v>#DIV/0!</v>
      </c>
      <c r="Z768" s="2">
        <v>0</v>
      </c>
      <c r="AA768" s="2">
        <v>0</v>
      </c>
      <c r="AB768" s="2">
        <v>0</v>
      </c>
      <c r="AC768" s="2">
        <v>0</v>
      </c>
    </row>
    <row r="769" spans="1:29" x14ac:dyDescent="0.35">
      <c r="A769" s="1" t="s">
        <v>801</v>
      </c>
      <c r="B769" s="1" t="s">
        <v>556</v>
      </c>
      <c r="C769">
        <f>D769+E769+F769+G769+H769+I769</f>
        <v>2</v>
      </c>
      <c r="D769" s="2">
        <v>0</v>
      </c>
      <c r="E769" s="2">
        <v>0</v>
      </c>
      <c r="F769" s="2">
        <v>0</v>
      </c>
      <c r="G769" s="2">
        <v>2</v>
      </c>
      <c r="H769" s="2">
        <v>0</v>
      </c>
      <c r="I769" s="2">
        <v>0</v>
      </c>
      <c r="J769" s="2">
        <v>2</v>
      </c>
      <c r="K769">
        <f>J769+L769</f>
        <v>2</v>
      </c>
      <c r="L769" s="2">
        <v>0</v>
      </c>
      <c r="M769" s="2">
        <v>0</v>
      </c>
      <c r="N769" s="2">
        <v>20</v>
      </c>
      <c r="O769" s="3">
        <f>N769/J769</f>
        <v>10</v>
      </c>
      <c r="P769" s="2">
        <v>0</v>
      </c>
      <c r="Q769" s="2">
        <v>0</v>
      </c>
      <c r="R769" s="2">
        <v>15</v>
      </c>
      <c r="S769" s="2">
        <v>11</v>
      </c>
      <c r="T769" s="2">
        <v>0</v>
      </c>
      <c r="U769" s="2">
        <v>0</v>
      </c>
      <c r="V769" s="2">
        <v>41</v>
      </c>
      <c r="W769" s="3">
        <f>V769/S769</f>
        <v>3.7272727272727271</v>
      </c>
      <c r="X769" s="3" t="e">
        <f>V769/U769</f>
        <v>#DIV/0!</v>
      </c>
      <c r="Y769" s="4" t="e">
        <f>S769*6/U769</f>
        <v>#DIV/0!</v>
      </c>
      <c r="Z769" s="2">
        <v>0</v>
      </c>
      <c r="AA769" s="2">
        <v>0</v>
      </c>
      <c r="AB769" s="2">
        <v>0</v>
      </c>
      <c r="AC769" s="2">
        <v>0</v>
      </c>
    </row>
    <row r="770" spans="1:29" x14ac:dyDescent="0.35">
      <c r="A770" s="1" t="s">
        <v>801</v>
      </c>
      <c r="B770" s="1" t="s">
        <v>805</v>
      </c>
      <c r="C770">
        <f>D770+E770+F770+G770+H770+I770</f>
        <v>1</v>
      </c>
      <c r="D770" s="2">
        <v>0</v>
      </c>
      <c r="E770" s="2">
        <v>0</v>
      </c>
      <c r="F770" s="2">
        <v>0</v>
      </c>
      <c r="G770" s="2">
        <v>0</v>
      </c>
      <c r="H770" s="2">
        <v>1</v>
      </c>
      <c r="I770" s="2">
        <v>0</v>
      </c>
      <c r="J770" s="2">
        <v>1</v>
      </c>
      <c r="K770">
        <f>J770+L770</f>
        <v>1</v>
      </c>
      <c r="L770" s="2">
        <v>0</v>
      </c>
      <c r="M770" s="2">
        <v>0</v>
      </c>
      <c r="N770" s="2">
        <v>5</v>
      </c>
      <c r="O770" s="3">
        <f>N770/J770</f>
        <v>5</v>
      </c>
      <c r="P770" s="2">
        <v>0</v>
      </c>
      <c r="Q770" s="2">
        <v>0</v>
      </c>
      <c r="R770" s="2">
        <v>5</v>
      </c>
      <c r="S770" s="2">
        <v>8</v>
      </c>
      <c r="T770" s="2">
        <v>2</v>
      </c>
      <c r="U770" s="2">
        <v>0</v>
      </c>
      <c r="V770" s="2">
        <v>18</v>
      </c>
      <c r="W770" s="3">
        <f>V770/S770</f>
        <v>2.25</v>
      </c>
      <c r="X770" s="3" t="e">
        <f>V770/U770</f>
        <v>#DIV/0!</v>
      </c>
      <c r="Y770" s="4" t="e">
        <f>S770*6/U770</f>
        <v>#DIV/0!</v>
      </c>
      <c r="Z770" s="2">
        <v>0</v>
      </c>
      <c r="AA770" s="2">
        <v>0</v>
      </c>
      <c r="AB770" s="2">
        <v>0</v>
      </c>
      <c r="AC770" s="2">
        <v>0</v>
      </c>
    </row>
    <row r="771" spans="1:29" x14ac:dyDescent="0.35">
      <c r="A771" s="1" t="s">
        <v>801</v>
      </c>
      <c r="B771" s="1" t="s">
        <v>806</v>
      </c>
      <c r="C771">
        <f>D771+E771+F771+G771+H771+I771</f>
        <v>1</v>
      </c>
      <c r="D771" s="2">
        <v>0</v>
      </c>
      <c r="E771" s="2">
        <v>0</v>
      </c>
      <c r="F771" s="2">
        <v>0</v>
      </c>
      <c r="G771" s="2">
        <v>1</v>
      </c>
      <c r="H771" s="2">
        <v>0</v>
      </c>
      <c r="I771" s="2">
        <v>0</v>
      </c>
      <c r="J771" s="2">
        <v>0</v>
      </c>
      <c r="K771">
        <f>J771+L771</f>
        <v>1</v>
      </c>
      <c r="L771" s="2">
        <v>1</v>
      </c>
      <c r="M771" s="2">
        <v>0</v>
      </c>
      <c r="N771" s="2">
        <v>3</v>
      </c>
      <c r="O771" s="3" t="e">
        <f>N771/J771</f>
        <v>#DIV/0!</v>
      </c>
      <c r="P771" s="2">
        <v>0</v>
      </c>
      <c r="Q771" s="2">
        <v>0</v>
      </c>
      <c r="R771" s="2">
        <v>3</v>
      </c>
      <c r="S771" s="2">
        <v>2</v>
      </c>
      <c r="T771" s="2">
        <v>1</v>
      </c>
      <c r="U771" s="2">
        <v>0</v>
      </c>
      <c r="V771" s="2">
        <v>1</v>
      </c>
      <c r="W771" s="3">
        <f>V771/S771</f>
        <v>0.5</v>
      </c>
      <c r="X771" s="3" t="e">
        <f>V771/U771</f>
        <v>#DIV/0!</v>
      </c>
      <c r="Y771" s="4" t="e">
        <f>S771*6/U771</f>
        <v>#DIV/0!</v>
      </c>
      <c r="Z771" s="2">
        <v>0</v>
      </c>
      <c r="AA771" s="2">
        <v>0</v>
      </c>
      <c r="AB771" s="2">
        <v>0</v>
      </c>
      <c r="AC771" s="2">
        <v>0</v>
      </c>
    </row>
    <row r="772" spans="1:29" x14ac:dyDescent="0.35">
      <c r="A772" s="34" t="s">
        <v>808</v>
      </c>
      <c r="B772" s="34" t="s">
        <v>809</v>
      </c>
      <c r="C772">
        <f>D772+E772+F772+G772+H772+I772</f>
        <v>88</v>
      </c>
      <c r="D772" s="5">
        <v>42</v>
      </c>
      <c r="E772" s="5">
        <v>31</v>
      </c>
      <c r="F772" s="5">
        <v>8</v>
      </c>
      <c r="G772" s="5">
        <v>3</v>
      </c>
      <c r="H772" s="5">
        <v>4</v>
      </c>
      <c r="I772" s="5">
        <v>0</v>
      </c>
      <c r="J772" s="5">
        <v>76</v>
      </c>
      <c r="K772">
        <f>J772+L772</f>
        <v>88</v>
      </c>
      <c r="L772" s="5">
        <v>12</v>
      </c>
      <c r="M772" s="5">
        <v>14</v>
      </c>
      <c r="N772" s="5">
        <v>1063</v>
      </c>
      <c r="O772" s="3">
        <f>N772/J772</f>
        <v>13.986842105263158</v>
      </c>
      <c r="P772" s="5">
        <v>2</v>
      </c>
      <c r="Q772" s="5">
        <v>0</v>
      </c>
      <c r="R772" s="5">
        <v>85</v>
      </c>
      <c r="S772" s="40">
        <v>501</v>
      </c>
      <c r="T772" s="40">
        <v>93</v>
      </c>
      <c r="U772" s="40">
        <v>62</v>
      </c>
      <c r="V772" s="40">
        <v>1524</v>
      </c>
      <c r="W772" s="3">
        <f>V772/S772</f>
        <v>3.0419161676646707</v>
      </c>
      <c r="X772" s="3">
        <f>V772/U772</f>
        <v>24.580645161290324</v>
      </c>
      <c r="Y772" s="4">
        <f>S772*6/U772</f>
        <v>48.483870967741936</v>
      </c>
      <c r="Z772" s="40">
        <v>3</v>
      </c>
      <c r="AA772" s="40">
        <v>0</v>
      </c>
      <c r="AB772" s="40">
        <v>0</v>
      </c>
      <c r="AC772" s="40">
        <v>27</v>
      </c>
    </row>
    <row r="773" spans="1:29" x14ac:dyDescent="0.35">
      <c r="A773" s="1" t="s">
        <v>808</v>
      </c>
      <c r="B773" s="1" t="s">
        <v>818</v>
      </c>
      <c r="C773">
        <f>D773+E773+F773+G773+H773+I773</f>
        <v>58</v>
      </c>
      <c r="D773" s="2">
        <v>46</v>
      </c>
      <c r="E773" s="2">
        <v>11</v>
      </c>
      <c r="F773" s="2">
        <v>0</v>
      </c>
      <c r="G773" s="2">
        <v>1</v>
      </c>
      <c r="H773" s="2">
        <v>0</v>
      </c>
      <c r="I773" s="2">
        <v>0</v>
      </c>
      <c r="J773" s="2">
        <v>52</v>
      </c>
      <c r="K773">
        <f>J773+L773</f>
        <v>58</v>
      </c>
      <c r="L773" s="2">
        <v>6</v>
      </c>
      <c r="M773" s="2">
        <v>2</v>
      </c>
      <c r="N773" s="2">
        <f>1150+364</f>
        <v>1514</v>
      </c>
      <c r="O773" s="3">
        <f>N773/J773</f>
        <v>29.115384615384617</v>
      </c>
      <c r="P773" s="2">
        <v>9</v>
      </c>
      <c r="Q773" s="2">
        <v>0</v>
      </c>
      <c r="R773" s="2">
        <v>93</v>
      </c>
      <c r="S773" s="2">
        <v>90</v>
      </c>
      <c r="T773" s="2">
        <v>9</v>
      </c>
      <c r="U773" s="2">
        <v>8</v>
      </c>
      <c r="V773" s="2">
        <v>355</v>
      </c>
      <c r="W773" s="3">
        <f>V773/S773</f>
        <v>3.9444444444444446</v>
      </c>
      <c r="X773" s="3">
        <f>V773/U773</f>
        <v>44.375</v>
      </c>
      <c r="Y773" s="4">
        <f>S773*6/U773</f>
        <v>67.5</v>
      </c>
      <c r="Z773" s="2">
        <v>2</v>
      </c>
      <c r="AA773" s="2">
        <v>0</v>
      </c>
      <c r="AB773" s="2">
        <v>0</v>
      </c>
      <c r="AC773" s="2">
        <v>17</v>
      </c>
    </row>
    <row r="774" spans="1:29" x14ac:dyDescent="0.35">
      <c r="A774" s="1" t="s">
        <v>808</v>
      </c>
      <c r="B774" s="1" t="s">
        <v>198</v>
      </c>
      <c r="C774">
        <f>D774+E774+F774+G774+H774+I774</f>
        <v>13</v>
      </c>
      <c r="D774" s="2">
        <v>0</v>
      </c>
      <c r="E774" s="2">
        <v>0</v>
      </c>
      <c r="F774" s="2">
        <v>0</v>
      </c>
      <c r="G774" s="2">
        <v>5</v>
      </c>
      <c r="H774" s="2">
        <v>8</v>
      </c>
      <c r="I774" s="2">
        <v>0</v>
      </c>
      <c r="J774" s="2">
        <v>10</v>
      </c>
      <c r="K774">
        <f>J774+L774</f>
        <v>11</v>
      </c>
      <c r="L774" s="2">
        <v>1</v>
      </c>
      <c r="M774" s="2">
        <v>5</v>
      </c>
      <c r="N774" s="2">
        <v>137</v>
      </c>
      <c r="O774" s="3">
        <f>N774/J774</f>
        <v>13.7</v>
      </c>
      <c r="P774" s="2">
        <v>0</v>
      </c>
      <c r="Q774" s="2">
        <v>0</v>
      </c>
      <c r="R774" s="2">
        <v>44</v>
      </c>
      <c r="S774" s="2">
        <v>168</v>
      </c>
      <c r="T774" s="2">
        <v>30</v>
      </c>
      <c r="U774" s="2">
        <v>22</v>
      </c>
      <c r="V774" s="2">
        <v>553</v>
      </c>
      <c r="W774" s="3">
        <f>V774/S774</f>
        <v>3.2916666666666665</v>
      </c>
      <c r="X774" s="3">
        <f>V774/U774</f>
        <v>25.136363636363637</v>
      </c>
      <c r="Y774" s="4">
        <f>S774*6/U774</f>
        <v>45.81818181818182</v>
      </c>
      <c r="Z774" s="2">
        <v>5</v>
      </c>
      <c r="AA774" s="2">
        <v>1</v>
      </c>
      <c r="AB774" s="2">
        <v>0</v>
      </c>
      <c r="AC774" s="2">
        <v>5</v>
      </c>
    </row>
    <row r="775" spans="1:29" x14ac:dyDescent="0.35">
      <c r="A775" s="1" t="s">
        <v>808</v>
      </c>
      <c r="B775" s="1" t="s">
        <v>812</v>
      </c>
      <c r="C775">
        <f>D775+E775+F775+G775+H775+I775</f>
        <v>11</v>
      </c>
      <c r="D775" s="2">
        <v>0</v>
      </c>
      <c r="E775" s="2">
        <v>0</v>
      </c>
      <c r="F775" s="2">
        <v>3</v>
      </c>
      <c r="G775" s="2">
        <v>2</v>
      </c>
      <c r="H775" s="2">
        <v>6</v>
      </c>
      <c r="I775" s="2">
        <v>0</v>
      </c>
      <c r="J775" s="2">
        <v>4</v>
      </c>
      <c r="K775">
        <f>J775+L775</f>
        <v>5</v>
      </c>
      <c r="L775" s="2">
        <v>1</v>
      </c>
      <c r="M775" s="2">
        <v>7</v>
      </c>
      <c r="N775" s="2">
        <v>5</v>
      </c>
      <c r="O775" s="3">
        <f>N775/J775</f>
        <v>1.25</v>
      </c>
      <c r="P775" s="2">
        <v>0</v>
      </c>
      <c r="Q775" s="2">
        <v>0</v>
      </c>
      <c r="R775" s="2">
        <v>3</v>
      </c>
      <c r="S775" s="2">
        <v>50</v>
      </c>
      <c r="T775" s="2">
        <v>7</v>
      </c>
      <c r="U775" s="2">
        <v>7</v>
      </c>
      <c r="V775" s="2">
        <v>195</v>
      </c>
      <c r="W775" s="3">
        <f>V775/S775</f>
        <v>3.9</v>
      </c>
      <c r="X775" s="3">
        <f>V775/U775</f>
        <v>27.857142857142858</v>
      </c>
      <c r="Y775" s="4">
        <f>S775*6/U775</f>
        <v>42.857142857142854</v>
      </c>
      <c r="Z775" s="2">
        <v>2</v>
      </c>
      <c r="AA775" s="2">
        <v>0</v>
      </c>
      <c r="AB775" s="2">
        <v>0</v>
      </c>
      <c r="AC775" s="2">
        <v>3</v>
      </c>
    </row>
    <row r="776" spans="1:29" x14ac:dyDescent="0.35">
      <c r="A776" s="1" t="s">
        <v>808</v>
      </c>
      <c r="B776" s="1" t="s">
        <v>816</v>
      </c>
      <c r="C776">
        <f>D776+E776+F776+G776+H776+I776</f>
        <v>9</v>
      </c>
      <c r="D776" s="2">
        <v>4</v>
      </c>
      <c r="E776" s="2">
        <v>5</v>
      </c>
      <c r="F776" s="2">
        <v>0</v>
      </c>
      <c r="G776" s="2">
        <v>0</v>
      </c>
      <c r="H776" s="2">
        <v>0</v>
      </c>
      <c r="I776" s="2">
        <v>0</v>
      </c>
      <c r="J776" s="2">
        <v>10</v>
      </c>
      <c r="K776">
        <f>J776+L776</f>
        <v>10</v>
      </c>
      <c r="L776" s="2">
        <v>0</v>
      </c>
      <c r="M776" s="2">
        <v>1</v>
      </c>
      <c r="N776" s="2">
        <v>102</v>
      </c>
      <c r="O776" s="3">
        <f>N776/J776</f>
        <v>10.199999999999999</v>
      </c>
      <c r="P776" s="2">
        <v>0</v>
      </c>
      <c r="Q776" s="2">
        <v>0</v>
      </c>
      <c r="R776" s="2">
        <v>40</v>
      </c>
      <c r="S776" s="2">
        <v>11</v>
      </c>
      <c r="T776" s="2">
        <v>2</v>
      </c>
      <c r="U776" s="2">
        <v>2</v>
      </c>
      <c r="V776" s="2">
        <v>52</v>
      </c>
      <c r="W776" s="3">
        <f>V776/S776</f>
        <v>4.7272727272727275</v>
      </c>
      <c r="X776" s="3">
        <f>V776/U776</f>
        <v>26</v>
      </c>
      <c r="Y776" s="4">
        <f>S776*6/U776</f>
        <v>33</v>
      </c>
      <c r="Z776" s="2">
        <v>2</v>
      </c>
      <c r="AA776" s="2">
        <v>0</v>
      </c>
      <c r="AB776" s="2">
        <v>0</v>
      </c>
      <c r="AC776" s="2">
        <v>3</v>
      </c>
    </row>
    <row r="777" spans="1:29" x14ac:dyDescent="0.35">
      <c r="A777" s="1" t="s">
        <v>808</v>
      </c>
      <c r="B777" s="1" t="s">
        <v>597</v>
      </c>
      <c r="C777">
        <f>D777+E777+F777+G777+H777+I777</f>
        <v>42</v>
      </c>
      <c r="D777" s="2">
        <v>0</v>
      </c>
      <c r="E777" s="2">
        <v>0</v>
      </c>
      <c r="F777" s="2">
        <v>31</v>
      </c>
      <c r="G777" s="2">
        <v>11</v>
      </c>
      <c r="H777" s="2">
        <v>0</v>
      </c>
      <c r="I777" s="2">
        <v>0</v>
      </c>
      <c r="J777" s="2">
        <v>23</v>
      </c>
      <c r="K777">
        <f>J777+L777</f>
        <v>28</v>
      </c>
      <c r="L777" s="2">
        <v>5</v>
      </c>
      <c r="M777" s="2">
        <v>15</v>
      </c>
      <c r="N777" s="2">
        <f>124+117</f>
        <v>241</v>
      </c>
      <c r="O777" s="3">
        <f>N777/J777</f>
        <v>10.478260869565217</v>
      </c>
      <c r="P777" s="2">
        <v>0</v>
      </c>
      <c r="Q777" s="2">
        <v>0</v>
      </c>
      <c r="R777" s="2">
        <v>31</v>
      </c>
      <c r="S777" s="2">
        <f>151+83</f>
        <v>234</v>
      </c>
      <c r="T777" s="2">
        <v>46</v>
      </c>
      <c r="U777" s="2">
        <v>33</v>
      </c>
      <c r="V777" s="2">
        <f>527+236</f>
        <v>763</v>
      </c>
      <c r="W777" s="3">
        <f>V777/S777</f>
        <v>3.2606837606837606</v>
      </c>
      <c r="X777" s="3">
        <f>V777/U777</f>
        <v>23.121212121212121</v>
      </c>
      <c r="Y777" s="4">
        <f>S777*6/U777</f>
        <v>42.545454545454547</v>
      </c>
      <c r="Z777" s="2" t="s">
        <v>1316</v>
      </c>
      <c r="AA777" s="2">
        <v>0</v>
      </c>
      <c r="AB777" s="2">
        <v>0</v>
      </c>
      <c r="AC777" s="2">
        <v>1</v>
      </c>
    </row>
    <row r="778" spans="1:29" x14ac:dyDescent="0.35">
      <c r="A778" s="1" t="s">
        <v>808</v>
      </c>
      <c r="B778" s="1" t="s">
        <v>815</v>
      </c>
      <c r="C778">
        <f>D778+E778+F778+G778+H778+I778</f>
        <v>12</v>
      </c>
      <c r="D778" s="2">
        <v>0</v>
      </c>
      <c r="E778" s="2">
        <v>0</v>
      </c>
      <c r="F778" s="2">
        <v>0</v>
      </c>
      <c r="G778" s="2">
        <v>11</v>
      </c>
      <c r="H778" s="2">
        <v>1</v>
      </c>
      <c r="I778" s="2">
        <v>0</v>
      </c>
      <c r="J778" s="2">
        <v>13</v>
      </c>
      <c r="K778">
        <f>J778+L778</f>
        <v>14</v>
      </c>
      <c r="L778" s="2">
        <v>1</v>
      </c>
      <c r="M778" s="2">
        <v>0</v>
      </c>
      <c r="N778" s="2">
        <v>170</v>
      </c>
      <c r="O778" s="3">
        <f>N778/J778</f>
        <v>13.076923076923077</v>
      </c>
      <c r="P778" s="2">
        <v>0</v>
      </c>
      <c r="Q778" s="2">
        <v>0</v>
      </c>
      <c r="R778" s="2">
        <v>31</v>
      </c>
      <c r="S778" s="2">
        <v>148</v>
      </c>
      <c r="T778" s="2">
        <v>28</v>
      </c>
      <c r="U778" s="2">
        <v>15</v>
      </c>
      <c r="V778" s="2">
        <v>479</v>
      </c>
      <c r="W778" s="3">
        <f>V778/S778</f>
        <v>3.2364864864864864</v>
      </c>
      <c r="X778" s="3">
        <f>V778/U778</f>
        <v>31.933333333333334</v>
      </c>
      <c r="Y778" s="4">
        <f>S778*6/U778</f>
        <v>59.2</v>
      </c>
      <c r="Z778" s="2">
        <v>5</v>
      </c>
      <c r="AA778" s="2">
        <v>1</v>
      </c>
      <c r="AB778" s="2">
        <v>0</v>
      </c>
      <c r="AC778" s="2">
        <v>1</v>
      </c>
    </row>
    <row r="779" spans="1:29" x14ac:dyDescent="0.35">
      <c r="A779" s="1" t="s">
        <v>808</v>
      </c>
      <c r="B779" s="1" t="s">
        <v>819</v>
      </c>
      <c r="C779">
        <f>D779+E779+F779+G779+H779+I779</f>
        <v>18</v>
      </c>
      <c r="D779" s="2">
        <v>0</v>
      </c>
      <c r="E779" s="2">
        <v>12</v>
      </c>
      <c r="F779" s="2">
        <v>3</v>
      </c>
      <c r="G779" s="2">
        <v>3</v>
      </c>
      <c r="H779" s="2">
        <v>0</v>
      </c>
      <c r="I779" s="2">
        <v>0</v>
      </c>
      <c r="J779" s="2">
        <v>18</v>
      </c>
      <c r="K779">
        <f>J779+L779</f>
        <v>20</v>
      </c>
      <c r="L779" s="2">
        <v>2</v>
      </c>
      <c r="M779" s="2">
        <v>3</v>
      </c>
      <c r="N779" s="2">
        <v>258</v>
      </c>
      <c r="O779" s="3">
        <f>N779/J779</f>
        <v>14.333333333333334</v>
      </c>
      <c r="P779" s="2">
        <v>1</v>
      </c>
      <c r="Q779" s="2">
        <v>0</v>
      </c>
      <c r="R779" s="2">
        <v>51</v>
      </c>
      <c r="S779" s="2">
        <v>94</v>
      </c>
      <c r="T779" s="2">
        <v>11</v>
      </c>
      <c r="U779" s="2">
        <v>12</v>
      </c>
      <c r="V779" s="2">
        <v>371</v>
      </c>
      <c r="W779" s="3">
        <f>V779/S779</f>
        <v>3.9468085106382977</v>
      </c>
      <c r="X779" s="3">
        <f>V779/U779</f>
        <v>30.916666666666668</v>
      </c>
      <c r="Y779" s="4">
        <f>S779*6/U779</f>
        <v>47</v>
      </c>
      <c r="Z779" s="2">
        <v>2</v>
      </c>
      <c r="AA779" s="2">
        <v>0</v>
      </c>
      <c r="AB779" s="2">
        <v>0</v>
      </c>
      <c r="AC779" s="2">
        <v>1</v>
      </c>
    </row>
    <row r="780" spans="1:29" x14ac:dyDescent="0.35">
      <c r="A780" s="1" t="s">
        <v>808</v>
      </c>
      <c r="B780" s="1" t="s">
        <v>817</v>
      </c>
      <c r="C780">
        <f>D780+E780+F780+G780+H780+I780</f>
        <v>7</v>
      </c>
      <c r="D780" s="2">
        <v>0</v>
      </c>
      <c r="E780" s="2">
        <v>7</v>
      </c>
      <c r="F780" s="2">
        <v>0</v>
      </c>
      <c r="G780" s="2">
        <v>0</v>
      </c>
      <c r="H780" s="2">
        <v>0</v>
      </c>
      <c r="I780" s="2">
        <v>0</v>
      </c>
      <c r="J780" s="2">
        <v>5</v>
      </c>
      <c r="K780">
        <f>J780+L780</f>
        <v>6</v>
      </c>
      <c r="L780" s="2">
        <v>1</v>
      </c>
      <c r="M780" s="2">
        <v>1</v>
      </c>
      <c r="N780" s="2">
        <v>79</v>
      </c>
      <c r="O780" s="3">
        <f>N780/J780</f>
        <v>15.8</v>
      </c>
      <c r="P780" s="2">
        <v>0</v>
      </c>
      <c r="Q780" s="2">
        <v>0</v>
      </c>
      <c r="R780" s="2">
        <v>31</v>
      </c>
      <c r="S780" s="2">
        <v>27</v>
      </c>
      <c r="T780" s="2">
        <v>4</v>
      </c>
      <c r="U780" s="2">
        <v>5</v>
      </c>
      <c r="V780" s="2">
        <v>82</v>
      </c>
      <c r="W780" s="3">
        <f>V780/S780</f>
        <v>3.0370370370370372</v>
      </c>
      <c r="X780" s="3">
        <f>V780/U780</f>
        <v>16.399999999999999</v>
      </c>
      <c r="Y780" s="4">
        <f>S780*6/U780</f>
        <v>32.4</v>
      </c>
      <c r="Z780" s="2">
        <v>4</v>
      </c>
      <c r="AA780" s="2">
        <v>0</v>
      </c>
      <c r="AB780" s="2">
        <v>0</v>
      </c>
      <c r="AC780" s="2">
        <v>1</v>
      </c>
    </row>
    <row r="781" spans="1:29" x14ac:dyDescent="0.35">
      <c r="A781" s="1" t="s">
        <v>808</v>
      </c>
      <c r="B781" s="1" t="s">
        <v>422</v>
      </c>
      <c r="C781">
        <f>D781+E781+F781+G781+H781+I781</f>
        <v>1</v>
      </c>
      <c r="D781" s="2">
        <v>0</v>
      </c>
      <c r="E781" s="2">
        <v>0</v>
      </c>
      <c r="F781" s="2">
        <v>0</v>
      </c>
      <c r="G781" s="2">
        <v>0</v>
      </c>
      <c r="H781" s="2">
        <v>1</v>
      </c>
      <c r="I781" s="2">
        <v>0</v>
      </c>
      <c r="J781" s="2">
        <v>1</v>
      </c>
      <c r="K781">
        <f>J781+L781</f>
        <v>1</v>
      </c>
      <c r="L781" s="2">
        <v>0</v>
      </c>
      <c r="M781" s="2">
        <v>0</v>
      </c>
      <c r="N781" s="2">
        <v>7</v>
      </c>
      <c r="O781" s="3">
        <f>N781/J781</f>
        <v>7</v>
      </c>
      <c r="P781" s="2">
        <v>0</v>
      </c>
      <c r="Q781" s="2">
        <v>0</v>
      </c>
      <c r="R781" s="2">
        <v>7</v>
      </c>
      <c r="S781" s="2">
        <v>8</v>
      </c>
      <c r="T781" s="2">
        <v>0</v>
      </c>
      <c r="U781" s="2">
        <v>3</v>
      </c>
      <c r="V781" s="2">
        <v>41</v>
      </c>
      <c r="W781" s="3">
        <f>V781/S781</f>
        <v>5.125</v>
      </c>
      <c r="X781" s="3">
        <f>V781/U781</f>
        <v>13.666666666666666</v>
      </c>
      <c r="Y781" s="4">
        <f>S781*6/U781</f>
        <v>16</v>
      </c>
      <c r="Z781" s="2">
        <v>3</v>
      </c>
      <c r="AA781" s="2">
        <v>0</v>
      </c>
      <c r="AB781" s="2">
        <v>0</v>
      </c>
      <c r="AC781" s="2">
        <v>1</v>
      </c>
    </row>
    <row r="782" spans="1:29" x14ac:dyDescent="0.35">
      <c r="A782" s="22" t="s">
        <v>808</v>
      </c>
      <c r="B782" s="22" t="s">
        <v>1412</v>
      </c>
      <c r="C782" s="18">
        <f>D782+E782+F782+G782+H782+I782</f>
        <v>11</v>
      </c>
      <c r="D782" s="16">
        <v>0</v>
      </c>
      <c r="E782" s="16">
        <v>0</v>
      </c>
      <c r="F782" s="16">
        <v>2</v>
      </c>
      <c r="G782" s="16">
        <v>9</v>
      </c>
      <c r="H782" s="16">
        <v>0</v>
      </c>
      <c r="I782" s="16">
        <v>0</v>
      </c>
      <c r="J782" s="16">
        <v>9</v>
      </c>
      <c r="K782" s="18">
        <f>J782+L782</f>
        <v>11</v>
      </c>
      <c r="L782" s="16">
        <v>2</v>
      </c>
      <c r="M782" s="16">
        <v>0</v>
      </c>
      <c r="N782" s="16">
        <f>15+199</f>
        <v>214</v>
      </c>
      <c r="O782" s="19">
        <f>N782/J782</f>
        <v>23.777777777777779</v>
      </c>
      <c r="P782" s="16">
        <v>0</v>
      </c>
      <c r="Q782" s="16">
        <v>1</v>
      </c>
      <c r="R782" s="16">
        <v>104</v>
      </c>
      <c r="S782" s="22">
        <v>2.4</v>
      </c>
      <c r="T782" s="22">
        <v>0</v>
      </c>
      <c r="U782" s="22">
        <v>2</v>
      </c>
      <c r="V782" s="22">
        <v>27</v>
      </c>
      <c r="W782" s="19">
        <f>V782/S782</f>
        <v>11.25</v>
      </c>
      <c r="X782" s="19">
        <f>V782/U782</f>
        <v>13.5</v>
      </c>
      <c r="Y782" s="19">
        <f>S782*6/U782</f>
        <v>7.1999999999999993</v>
      </c>
      <c r="Z782" s="22" t="s">
        <v>1329</v>
      </c>
      <c r="AA782" s="22">
        <v>0</v>
      </c>
      <c r="AB782" s="22">
        <v>0</v>
      </c>
      <c r="AC782" s="22">
        <v>1</v>
      </c>
    </row>
    <row r="783" spans="1:29" x14ac:dyDescent="0.35">
      <c r="A783" s="11" t="s">
        <v>808</v>
      </c>
      <c r="B783" s="11" t="s">
        <v>673</v>
      </c>
      <c r="C783">
        <f>D783+E783+F783+G783+H783+I783</f>
        <v>9</v>
      </c>
      <c r="D783" s="2">
        <v>0</v>
      </c>
      <c r="E783" s="2">
        <v>0</v>
      </c>
      <c r="F783" s="2">
        <v>9</v>
      </c>
      <c r="G783" s="2">
        <v>0</v>
      </c>
      <c r="H783" s="2">
        <v>0</v>
      </c>
      <c r="I783" s="2">
        <v>0</v>
      </c>
      <c r="J783" s="2">
        <v>9</v>
      </c>
      <c r="K783">
        <f>J783+L783</f>
        <v>9</v>
      </c>
      <c r="L783" s="2">
        <v>0</v>
      </c>
      <c r="M783" s="2">
        <v>0</v>
      </c>
      <c r="N783" s="2">
        <v>192</v>
      </c>
      <c r="O783" s="3">
        <f>N783/J783</f>
        <v>21.333333333333332</v>
      </c>
      <c r="P783" s="2">
        <v>0</v>
      </c>
      <c r="Q783" s="2">
        <v>0</v>
      </c>
      <c r="R783" s="2">
        <v>47</v>
      </c>
      <c r="S783" s="11">
        <v>0</v>
      </c>
      <c r="T783" s="11">
        <v>0</v>
      </c>
      <c r="U783" s="11">
        <v>0</v>
      </c>
      <c r="V783" s="11">
        <v>0</v>
      </c>
      <c r="W783" s="3">
        <v>0</v>
      </c>
      <c r="X783" s="3">
        <v>0</v>
      </c>
      <c r="Y783" s="3">
        <v>0</v>
      </c>
      <c r="Z783" s="11">
        <v>0</v>
      </c>
      <c r="AA783" s="11">
        <v>0</v>
      </c>
      <c r="AB783" s="11">
        <v>0</v>
      </c>
      <c r="AC783" s="11">
        <v>1</v>
      </c>
    </row>
    <row r="784" spans="1:29" x14ac:dyDescent="0.35">
      <c r="A784" s="1" t="s">
        <v>808</v>
      </c>
      <c r="B784" s="1" t="s">
        <v>477</v>
      </c>
      <c r="C784">
        <f>D784+E784+F784+G784+H784+I784</f>
        <v>6</v>
      </c>
      <c r="D784" s="2">
        <v>0</v>
      </c>
      <c r="E784" s="2">
        <v>0</v>
      </c>
      <c r="F784" s="2">
        <v>0</v>
      </c>
      <c r="G784" s="2">
        <v>6</v>
      </c>
      <c r="H784" s="2">
        <v>0</v>
      </c>
      <c r="I784" s="2">
        <v>0</v>
      </c>
      <c r="J784" s="2">
        <v>4</v>
      </c>
      <c r="K784">
        <f>J784+L784</f>
        <v>5</v>
      </c>
      <c r="L784" s="2">
        <v>1</v>
      </c>
      <c r="M784" s="2">
        <v>1</v>
      </c>
      <c r="N784" s="2">
        <v>93</v>
      </c>
      <c r="O784" s="3">
        <f>N784/J784</f>
        <v>23.25</v>
      </c>
      <c r="P784" s="2">
        <v>0</v>
      </c>
      <c r="Q784" s="2">
        <v>0</v>
      </c>
      <c r="R784" s="2">
        <v>35</v>
      </c>
      <c r="S784" s="2">
        <v>33</v>
      </c>
      <c r="T784" s="2">
        <v>0</v>
      </c>
      <c r="U784" s="2">
        <v>7</v>
      </c>
      <c r="V784" s="2">
        <v>114</v>
      </c>
      <c r="W784" s="3">
        <f>V784/S784</f>
        <v>3.4545454545454546</v>
      </c>
      <c r="X784" s="3">
        <f>V784/U784</f>
        <v>16.285714285714285</v>
      </c>
      <c r="Y784" s="4">
        <f>S784*6/U784</f>
        <v>28.285714285714285</v>
      </c>
      <c r="Z784" s="2">
        <v>3</v>
      </c>
      <c r="AA784" s="2">
        <v>0</v>
      </c>
      <c r="AB784" s="2">
        <v>0</v>
      </c>
      <c r="AC784" s="2">
        <v>0</v>
      </c>
    </row>
    <row r="785" spans="1:29" x14ac:dyDescent="0.35">
      <c r="A785" s="1" t="s">
        <v>808</v>
      </c>
      <c r="B785" s="1" t="s">
        <v>811</v>
      </c>
      <c r="C785">
        <f>D785+E785+F785+G785+H785+I785</f>
        <v>3</v>
      </c>
      <c r="D785" s="2">
        <v>0</v>
      </c>
      <c r="E785" s="2">
        <v>3</v>
      </c>
      <c r="F785" s="2">
        <v>0</v>
      </c>
      <c r="G785" s="2">
        <v>0</v>
      </c>
      <c r="H785" s="2">
        <v>0</v>
      </c>
      <c r="I785" s="2">
        <v>0</v>
      </c>
      <c r="J785" s="2">
        <v>4</v>
      </c>
      <c r="K785">
        <f>J785+L785</f>
        <v>4</v>
      </c>
      <c r="L785" s="2">
        <v>0</v>
      </c>
      <c r="M785" s="2">
        <v>1</v>
      </c>
      <c r="N785" s="2">
        <v>9</v>
      </c>
      <c r="O785" s="3">
        <f>N785/J785</f>
        <v>2.25</v>
      </c>
      <c r="P785" s="2">
        <v>0</v>
      </c>
      <c r="Q785" s="2">
        <v>0</v>
      </c>
      <c r="R785" s="2">
        <v>4</v>
      </c>
      <c r="S785" s="2">
        <v>6</v>
      </c>
      <c r="T785" s="2">
        <v>0</v>
      </c>
      <c r="U785" s="2">
        <v>4</v>
      </c>
      <c r="V785" s="2">
        <v>46</v>
      </c>
      <c r="W785" s="3">
        <f>V785/S785</f>
        <v>7.666666666666667</v>
      </c>
      <c r="X785" s="3">
        <f>V785/U785</f>
        <v>11.5</v>
      </c>
      <c r="Y785" s="4">
        <f>S785*6/U785</f>
        <v>9</v>
      </c>
      <c r="Z785" s="2">
        <v>4</v>
      </c>
      <c r="AA785" s="2">
        <v>0</v>
      </c>
      <c r="AB785" s="2">
        <v>0</v>
      </c>
      <c r="AC785" s="2">
        <v>0</v>
      </c>
    </row>
    <row r="786" spans="1:29" x14ac:dyDescent="0.35">
      <c r="A786" s="1" t="s">
        <v>808</v>
      </c>
      <c r="B786" s="1" t="s">
        <v>814</v>
      </c>
      <c r="C786">
        <f>D786+E786+F786+G786+H786+I786</f>
        <v>11</v>
      </c>
      <c r="D786" s="2">
        <v>0</v>
      </c>
      <c r="E786" s="2">
        <v>0</v>
      </c>
      <c r="F786" s="2">
        <v>3</v>
      </c>
      <c r="G786" s="2">
        <v>7</v>
      </c>
      <c r="H786" s="2">
        <v>1</v>
      </c>
      <c r="I786" s="2">
        <v>0</v>
      </c>
      <c r="J786" s="2">
        <v>9</v>
      </c>
      <c r="K786">
        <f>J786+L786</f>
        <v>11</v>
      </c>
      <c r="L786" s="2">
        <v>2</v>
      </c>
      <c r="M786" s="2">
        <v>0</v>
      </c>
      <c r="N786" s="2">
        <v>145</v>
      </c>
      <c r="O786" s="3">
        <f>N786/J786</f>
        <v>16.111111111111111</v>
      </c>
      <c r="P786" s="2">
        <v>0</v>
      </c>
      <c r="Q786" s="2">
        <v>0</v>
      </c>
      <c r="R786" s="2">
        <v>28</v>
      </c>
      <c r="S786" s="2">
        <v>14</v>
      </c>
      <c r="T786" s="2">
        <v>2</v>
      </c>
      <c r="U786" s="2">
        <v>2</v>
      </c>
      <c r="V786" s="2">
        <v>59</v>
      </c>
      <c r="W786" s="3">
        <f>V786/S786</f>
        <v>4.2142857142857144</v>
      </c>
      <c r="X786" s="3">
        <f>V786/U786</f>
        <v>29.5</v>
      </c>
      <c r="Y786" s="4">
        <f>S786*6/U786</f>
        <v>42</v>
      </c>
      <c r="Z786" s="2">
        <v>2</v>
      </c>
      <c r="AA786" s="2">
        <v>0</v>
      </c>
      <c r="AB786" s="2">
        <v>0</v>
      </c>
      <c r="AC786" s="2">
        <v>0</v>
      </c>
    </row>
    <row r="787" spans="1:29" x14ac:dyDescent="0.35">
      <c r="A787" s="1" t="s">
        <v>808</v>
      </c>
      <c r="B787" s="1" t="s">
        <v>75</v>
      </c>
      <c r="C787">
        <f>D787+E787+F787+G787+H787+I787</f>
        <v>6</v>
      </c>
      <c r="D787" s="2">
        <v>0</v>
      </c>
      <c r="E787" s="2">
        <v>1</v>
      </c>
      <c r="F787" s="2">
        <v>5</v>
      </c>
      <c r="G787" s="2">
        <v>0</v>
      </c>
      <c r="H787" s="2">
        <v>0</v>
      </c>
      <c r="I787" s="2">
        <v>0</v>
      </c>
      <c r="J787" s="2">
        <v>5</v>
      </c>
      <c r="K787">
        <f>J787+L787</f>
        <v>5</v>
      </c>
      <c r="L787" s="2">
        <v>0</v>
      </c>
      <c r="M787" s="2">
        <v>2</v>
      </c>
      <c r="N787" s="2">
        <v>34</v>
      </c>
      <c r="O787" s="3">
        <f>N787/J787</f>
        <v>6.8</v>
      </c>
      <c r="P787" s="2">
        <v>0</v>
      </c>
      <c r="Q787" s="2">
        <v>0</v>
      </c>
      <c r="R787" s="2">
        <v>19</v>
      </c>
      <c r="S787" s="2">
        <v>13</v>
      </c>
      <c r="T787" s="2">
        <v>0</v>
      </c>
      <c r="U787" s="2">
        <v>2</v>
      </c>
      <c r="V787" s="2">
        <v>81</v>
      </c>
      <c r="W787" s="3">
        <f>V787/S787</f>
        <v>6.2307692307692308</v>
      </c>
      <c r="X787" s="3">
        <f>V787/U787</f>
        <v>40.5</v>
      </c>
      <c r="Y787" s="4">
        <f>S787*6/U787</f>
        <v>39</v>
      </c>
      <c r="Z787" s="2">
        <v>1</v>
      </c>
      <c r="AA787" s="2">
        <v>0</v>
      </c>
      <c r="AB787" s="2">
        <v>0</v>
      </c>
      <c r="AC787" s="2">
        <v>0</v>
      </c>
    </row>
    <row r="788" spans="1:29" x14ac:dyDescent="0.35">
      <c r="A788" s="34" t="s">
        <v>808</v>
      </c>
      <c r="B788" s="34" t="s">
        <v>820</v>
      </c>
      <c r="C788">
        <f>D788+E788+F788+G788+H788+I788</f>
        <v>1</v>
      </c>
      <c r="D788" s="5">
        <v>0</v>
      </c>
      <c r="E788" s="5">
        <v>0</v>
      </c>
      <c r="F788" s="5">
        <v>1</v>
      </c>
      <c r="G788" s="5">
        <v>0</v>
      </c>
      <c r="H788" s="5">
        <v>0</v>
      </c>
      <c r="I788" s="5">
        <v>0</v>
      </c>
      <c r="J788" s="5">
        <v>0</v>
      </c>
      <c r="K788">
        <f>J788+L788</f>
        <v>0</v>
      </c>
      <c r="L788" s="5">
        <v>0</v>
      </c>
      <c r="M788" s="5">
        <v>1</v>
      </c>
      <c r="N788" s="5">
        <v>0</v>
      </c>
      <c r="O788" s="3" t="e">
        <f>N788/J788</f>
        <v>#DIV/0!</v>
      </c>
      <c r="P788" s="5">
        <v>0</v>
      </c>
      <c r="Q788" s="5">
        <v>0</v>
      </c>
      <c r="R788" s="5">
        <v>0</v>
      </c>
      <c r="S788" s="40">
        <v>8</v>
      </c>
      <c r="T788" s="40">
        <v>1</v>
      </c>
      <c r="U788" s="40">
        <v>2</v>
      </c>
      <c r="V788" s="40">
        <v>30</v>
      </c>
      <c r="W788" s="3">
        <f>V788/S788</f>
        <v>3.75</v>
      </c>
      <c r="X788" s="3">
        <f>V788/U788</f>
        <v>15</v>
      </c>
      <c r="Y788" s="4">
        <f>S788*6/U788</f>
        <v>24</v>
      </c>
      <c r="Z788" s="6">
        <v>2</v>
      </c>
      <c r="AA788" s="40">
        <v>0</v>
      </c>
      <c r="AB788" s="40">
        <v>0</v>
      </c>
      <c r="AC788" s="40">
        <v>0</v>
      </c>
    </row>
    <row r="789" spans="1:29" x14ac:dyDescent="0.35">
      <c r="A789" s="1" t="s">
        <v>808</v>
      </c>
      <c r="B789" s="1" t="s">
        <v>810</v>
      </c>
      <c r="C789">
        <f>D789+E789+F789+G789+H789+I789</f>
        <v>5</v>
      </c>
      <c r="D789" s="2">
        <v>0</v>
      </c>
      <c r="E789" s="2">
        <v>0</v>
      </c>
      <c r="F789" s="2">
        <v>0</v>
      </c>
      <c r="G789" s="2">
        <v>5</v>
      </c>
      <c r="H789" s="2">
        <v>0</v>
      </c>
      <c r="I789" s="2">
        <v>0</v>
      </c>
      <c r="J789" s="2">
        <v>4</v>
      </c>
      <c r="K789">
        <f>J789+L789</f>
        <v>4</v>
      </c>
      <c r="L789" s="2">
        <v>0</v>
      </c>
      <c r="M789" s="2">
        <v>1</v>
      </c>
      <c r="N789" s="2">
        <v>88</v>
      </c>
      <c r="O789" s="3">
        <f>N789/J789</f>
        <v>22</v>
      </c>
      <c r="P789" s="2">
        <v>1</v>
      </c>
      <c r="Q789" s="2">
        <v>0</v>
      </c>
      <c r="R789" s="2">
        <v>50</v>
      </c>
      <c r="S789" s="2">
        <v>2</v>
      </c>
      <c r="T789" s="2">
        <v>0</v>
      </c>
      <c r="U789" s="2">
        <v>0</v>
      </c>
      <c r="V789" s="2">
        <v>12</v>
      </c>
      <c r="W789" s="3">
        <f>V789/S789</f>
        <v>6</v>
      </c>
      <c r="X789" s="3" t="e">
        <f>V789/U789</f>
        <v>#DIV/0!</v>
      </c>
      <c r="Y789" s="4" t="e">
        <f>S789*6/U789</f>
        <v>#DIV/0!</v>
      </c>
      <c r="Z789" s="2">
        <v>0</v>
      </c>
      <c r="AA789" s="2">
        <v>0</v>
      </c>
      <c r="AB789" s="2">
        <v>0</v>
      </c>
      <c r="AC789" s="2">
        <v>0</v>
      </c>
    </row>
    <row r="790" spans="1:29" x14ac:dyDescent="0.35">
      <c r="A790" s="1" t="s">
        <v>1259</v>
      </c>
      <c r="B790" s="1" t="s">
        <v>813</v>
      </c>
      <c r="C790">
        <f>D790+E790+F790+G790+H790+I790</f>
        <v>36</v>
      </c>
      <c r="D790" s="2">
        <v>1</v>
      </c>
      <c r="E790" s="2">
        <v>1</v>
      </c>
      <c r="F790" s="2">
        <v>8</v>
      </c>
      <c r="G790" s="2">
        <v>12</v>
      </c>
      <c r="H790" s="2">
        <v>14</v>
      </c>
      <c r="I790" s="2">
        <v>0</v>
      </c>
      <c r="J790" s="2">
        <v>26</v>
      </c>
      <c r="K790">
        <f>J790+L790</f>
        <v>31</v>
      </c>
      <c r="L790" s="2">
        <v>5</v>
      </c>
      <c r="M790" s="2">
        <v>6</v>
      </c>
      <c r="N790" s="2">
        <f>768+130</f>
        <v>898</v>
      </c>
      <c r="O790" s="3">
        <f>N790/J790</f>
        <v>34.53846153846154</v>
      </c>
      <c r="P790" s="2">
        <v>7</v>
      </c>
      <c r="Q790" s="2">
        <v>1</v>
      </c>
      <c r="R790" s="2" t="s">
        <v>1253</v>
      </c>
      <c r="S790" s="2">
        <f>176.1+43</f>
        <v>219.1</v>
      </c>
      <c r="T790" s="2">
        <v>31</v>
      </c>
      <c r="U790" s="2">
        <f>48+8</f>
        <v>56</v>
      </c>
      <c r="V790" s="2">
        <f>619+119</f>
        <v>738</v>
      </c>
      <c r="W790" s="3">
        <f>V790/S790</f>
        <v>3.3683249657690553</v>
      </c>
      <c r="X790" s="3">
        <f>V790/U790</f>
        <v>13.178571428571429</v>
      </c>
      <c r="Y790" s="4">
        <f>S790*6/U790</f>
        <v>23.474999999999998</v>
      </c>
      <c r="Z790" s="2">
        <v>5</v>
      </c>
      <c r="AA790" s="2">
        <v>2</v>
      </c>
      <c r="AB790" s="2">
        <v>0</v>
      </c>
      <c r="AC790" s="2">
        <v>27</v>
      </c>
    </row>
    <row r="791" spans="1:29" x14ac:dyDescent="0.35">
      <c r="A791" s="1" t="s">
        <v>821</v>
      </c>
      <c r="B791" s="1" t="s">
        <v>156</v>
      </c>
      <c r="C791">
        <f>D791+E791+F791+G791+H791+I791</f>
        <v>7</v>
      </c>
      <c r="D791" s="2">
        <v>0</v>
      </c>
      <c r="E791" s="2">
        <v>0</v>
      </c>
      <c r="F791" s="2">
        <v>0</v>
      </c>
      <c r="G791" s="2">
        <v>3</v>
      </c>
      <c r="H791" s="2">
        <v>4</v>
      </c>
      <c r="I791" s="2">
        <v>0</v>
      </c>
      <c r="J791" s="2">
        <v>5</v>
      </c>
      <c r="K791">
        <f>J791+L791</f>
        <v>5</v>
      </c>
      <c r="L791" s="2">
        <v>0</v>
      </c>
      <c r="M791" s="2">
        <v>2</v>
      </c>
      <c r="N791" s="2">
        <v>93</v>
      </c>
      <c r="O791" s="3">
        <f>N791/J791</f>
        <v>18.600000000000001</v>
      </c>
      <c r="P791" s="2">
        <v>1</v>
      </c>
      <c r="Q791" s="2">
        <v>0</v>
      </c>
      <c r="R791" s="2">
        <v>58</v>
      </c>
      <c r="S791" s="2">
        <v>42</v>
      </c>
      <c r="T791" s="2">
        <v>7</v>
      </c>
      <c r="U791" s="2">
        <v>11</v>
      </c>
      <c r="V791" s="2">
        <v>147</v>
      </c>
      <c r="W791" s="3">
        <f>V791/S791</f>
        <v>3.5</v>
      </c>
      <c r="X791" s="3">
        <f>V791/U791</f>
        <v>13.363636363636363</v>
      </c>
      <c r="Y791" s="4">
        <f>S791*6/U791</f>
        <v>22.90909090909091</v>
      </c>
      <c r="Z791" s="2">
        <v>4</v>
      </c>
      <c r="AA791" s="2">
        <v>0</v>
      </c>
      <c r="AB791" s="2">
        <v>0</v>
      </c>
      <c r="AC791" s="2">
        <v>1</v>
      </c>
    </row>
    <row r="792" spans="1:29" x14ac:dyDescent="0.35">
      <c r="A792" s="1" t="s">
        <v>822</v>
      </c>
      <c r="B792" s="1" t="s">
        <v>823</v>
      </c>
      <c r="C792">
        <f>D792+E792+F792+G792+H792+I792</f>
        <v>37</v>
      </c>
      <c r="D792" s="2">
        <v>0</v>
      </c>
      <c r="E792" s="2">
        <v>2</v>
      </c>
      <c r="F792" s="2">
        <v>10</v>
      </c>
      <c r="G792" s="2">
        <v>15</v>
      </c>
      <c r="H792" s="2">
        <v>9</v>
      </c>
      <c r="I792" s="2">
        <v>1</v>
      </c>
      <c r="J792" s="2">
        <v>47</v>
      </c>
      <c r="K792">
        <f>J792+L792</f>
        <v>50</v>
      </c>
      <c r="L792" s="2">
        <v>3</v>
      </c>
      <c r="M792" s="2">
        <v>3</v>
      </c>
      <c r="N792" s="2">
        <v>954</v>
      </c>
      <c r="O792" s="3">
        <f>N792/J792</f>
        <v>20.297872340425531</v>
      </c>
      <c r="P792" s="2">
        <v>3</v>
      </c>
      <c r="Q792" s="2">
        <v>1</v>
      </c>
      <c r="R792" s="2">
        <v>112</v>
      </c>
      <c r="S792" s="2">
        <v>132</v>
      </c>
      <c r="T792" s="2">
        <v>9</v>
      </c>
      <c r="U792" s="2">
        <v>21</v>
      </c>
      <c r="V792" s="2">
        <v>526</v>
      </c>
      <c r="W792" s="3">
        <f>V792/S792</f>
        <v>3.9848484848484849</v>
      </c>
      <c r="X792" s="3">
        <f>V792/U792</f>
        <v>25.047619047619047</v>
      </c>
      <c r="Y792" s="4">
        <f>S792*6/U792</f>
        <v>37.714285714285715</v>
      </c>
      <c r="Z792" s="2">
        <v>5</v>
      </c>
      <c r="AA792" s="2">
        <v>0</v>
      </c>
      <c r="AB792" s="2">
        <v>0</v>
      </c>
      <c r="AC792" s="2">
        <v>21</v>
      </c>
    </row>
    <row r="793" spans="1:29" x14ac:dyDescent="0.35">
      <c r="A793" s="1" t="s">
        <v>822</v>
      </c>
      <c r="B793" s="1" t="s">
        <v>104</v>
      </c>
      <c r="C793">
        <f>D793+E793+F793+G793+H793+I793</f>
        <v>52</v>
      </c>
      <c r="D793" s="2">
        <v>0</v>
      </c>
      <c r="E793" s="2">
        <v>0</v>
      </c>
      <c r="F793" s="2">
        <v>0</v>
      </c>
      <c r="G793" s="2">
        <v>1</v>
      </c>
      <c r="H793" s="2">
        <v>4</v>
      </c>
      <c r="I793" s="2">
        <v>47</v>
      </c>
      <c r="J793" s="2">
        <v>38</v>
      </c>
      <c r="K793">
        <f>J793+L793</f>
        <v>48</v>
      </c>
      <c r="L793" s="2">
        <v>10</v>
      </c>
      <c r="M793" s="2">
        <v>3</v>
      </c>
      <c r="N793" s="2">
        <v>438</v>
      </c>
      <c r="O793" s="3">
        <f>N793/J793</f>
        <v>11.526315789473685</v>
      </c>
      <c r="P793" s="2">
        <v>0</v>
      </c>
      <c r="Q793" s="2">
        <v>0</v>
      </c>
      <c r="R793" s="2">
        <v>28</v>
      </c>
      <c r="S793" s="2">
        <v>86</v>
      </c>
      <c r="T793" s="2">
        <v>12</v>
      </c>
      <c r="U793" s="2">
        <v>14</v>
      </c>
      <c r="V793" s="2">
        <v>343</v>
      </c>
      <c r="W793" s="3">
        <f>V793/S793</f>
        <v>3.9883720930232558</v>
      </c>
      <c r="X793" s="3">
        <f>V793/U793</f>
        <v>24.5</v>
      </c>
      <c r="Y793" s="4">
        <f>S793*6/U793</f>
        <v>36.857142857142854</v>
      </c>
      <c r="Z793" s="2">
        <v>5</v>
      </c>
      <c r="AA793" s="2">
        <v>1</v>
      </c>
      <c r="AB793" s="2">
        <v>0</v>
      </c>
      <c r="AC793" s="2">
        <v>6</v>
      </c>
    </row>
    <row r="794" spans="1:29" x14ac:dyDescent="0.35">
      <c r="A794" s="1" t="s">
        <v>824</v>
      </c>
      <c r="B794" s="1" t="s">
        <v>825</v>
      </c>
      <c r="C794">
        <f>D794+E794+F794+G794+H794+I794</f>
        <v>7</v>
      </c>
      <c r="D794" s="2">
        <v>0</v>
      </c>
      <c r="E794" s="2">
        <v>0</v>
      </c>
      <c r="F794" s="2">
        <v>0</v>
      </c>
      <c r="G794" s="2">
        <v>4</v>
      </c>
      <c r="H794" s="2">
        <v>3</v>
      </c>
      <c r="I794" s="2">
        <v>0</v>
      </c>
      <c r="J794" s="2">
        <v>7</v>
      </c>
      <c r="K794">
        <f>J794+L794</f>
        <v>8</v>
      </c>
      <c r="L794" s="2">
        <v>1</v>
      </c>
      <c r="M794" s="2">
        <v>0</v>
      </c>
      <c r="N794" s="2">
        <v>103</v>
      </c>
      <c r="O794" s="3">
        <f>N794/J794</f>
        <v>14.714285714285714</v>
      </c>
      <c r="P794" s="2">
        <v>0</v>
      </c>
      <c r="Q794" s="2">
        <v>0</v>
      </c>
      <c r="R794" s="2">
        <v>35</v>
      </c>
      <c r="S794" s="2">
        <v>3</v>
      </c>
      <c r="T794" s="2">
        <v>0</v>
      </c>
      <c r="U794" s="2">
        <v>1</v>
      </c>
      <c r="V794" s="2">
        <v>19</v>
      </c>
      <c r="W794" s="3">
        <f>V794/S794</f>
        <v>6.333333333333333</v>
      </c>
      <c r="X794" s="3">
        <f>V794/U794</f>
        <v>19</v>
      </c>
      <c r="Y794" s="4">
        <f>S794*6/U794</f>
        <v>18</v>
      </c>
      <c r="Z794" s="2">
        <v>1</v>
      </c>
      <c r="AA794" s="2">
        <v>0</v>
      </c>
      <c r="AB794" s="2">
        <v>0</v>
      </c>
      <c r="AC794" s="2">
        <v>0</v>
      </c>
    </row>
    <row r="795" spans="1:29" x14ac:dyDescent="0.35">
      <c r="A795" s="1" t="s">
        <v>826</v>
      </c>
      <c r="B795" s="1" t="s">
        <v>124</v>
      </c>
      <c r="C795">
        <f>D795+E795+F795+G795+H795+I795</f>
        <v>1</v>
      </c>
      <c r="D795" s="2">
        <v>0</v>
      </c>
      <c r="E795" s="2">
        <v>0</v>
      </c>
      <c r="F795" s="2">
        <v>0</v>
      </c>
      <c r="G795" s="2">
        <v>0</v>
      </c>
      <c r="H795" s="2">
        <v>0</v>
      </c>
      <c r="I795" s="2">
        <v>1</v>
      </c>
      <c r="J795" s="2">
        <v>1</v>
      </c>
      <c r="K795">
        <f>J795+L795</f>
        <v>1</v>
      </c>
      <c r="L795" s="2">
        <v>0</v>
      </c>
      <c r="M795" s="2">
        <v>0</v>
      </c>
      <c r="N795" s="2">
        <v>34</v>
      </c>
      <c r="O795" s="3">
        <f>N795/J795</f>
        <v>34</v>
      </c>
      <c r="P795" s="2">
        <v>0</v>
      </c>
      <c r="Q795" s="2">
        <v>0</v>
      </c>
      <c r="R795" s="2">
        <v>34</v>
      </c>
      <c r="S795" s="2">
        <v>3</v>
      </c>
      <c r="T795" s="2">
        <v>1</v>
      </c>
      <c r="U795" s="2">
        <v>0</v>
      </c>
      <c r="V795" s="2">
        <v>4</v>
      </c>
      <c r="W795" s="3">
        <f>V795/S795</f>
        <v>1.3333333333333333</v>
      </c>
      <c r="X795" s="3" t="e">
        <f>V795/U795</f>
        <v>#DIV/0!</v>
      </c>
      <c r="Y795" s="4" t="e">
        <f>S795*6/U795</f>
        <v>#DIV/0!</v>
      </c>
      <c r="Z795" s="2">
        <v>0</v>
      </c>
      <c r="AA795" s="2">
        <v>0</v>
      </c>
      <c r="AB795" s="2">
        <v>0</v>
      </c>
      <c r="AC795" s="2">
        <v>0</v>
      </c>
    </row>
    <row r="796" spans="1:29" x14ac:dyDescent="0.35">
      <c r="A796" s="1" t="s">
        <v>827</v>
      </c>
      <c r="B796" s="1" t="s">
        <v>319</v>
      </c>
      <c r="C796">
        <f>D796+E796+F796+G796+H796+I796</f>
        <v>15</v>
      </c>
      <c r="D796" s="2">
        <v>0</v>
      </c>
      <c r="E796" s="2">
        <v>0</v>
      </c>
      <c r="F796" s="2">
        <v>0</v>
      </c>
      <c r="G796" s="2">
        <v>0</v>
      </c>
      <c r="H796" s="2">
        <v>2</v>
      </c>
      <c r="I796" s="2">
        <v>13</v>
      </c>
      <c r="J796" s="2">
        <v>13</v>
      </c>
      <c r="K796">
        <f>J796+L796</f>
        <v>18</v>
      </c>
      <c r="L796" s="2">
        <v>5</v>
      </c>
      <c r="M796" s="2">
        <v>2</v>
      </c>
      <c r="N796" s="2">
        <v>148</v>
      </c>
      <c r="O796" s="3">
        <f>N796/J796</f>
        <v>11.384615384615385</v>
      </c>
      <c r="P796" s="2">
        <v>0</v>
      </c>
      <c r="Q796" s="2">
        <v>0</v>
      </c>
      <c r="R796" s="2">
        <v>30</v>
      </c>
      <c r="S796" s="2">
        <v>26</v>
      </c>
      <c r="T796" s="2">
        <v>4</v>
      </c>
      <c r="U796" s="2">
        <v>5</v>
      </c>
      <c r="V796" s="2">
        <v>74</v>
      </c>
      <c r="W796" s="3">
        <f>V796/S796</f>
        <v>2.8461538461538463</v>
      </c>
      <c r="X796" s="3">
        <f>V796/U796</f>
        <v>14.8</v>
      </c>
      <c r="Y796" s="4">
        <f>S796*6/U796</f>
        <v>31.2</v>
      </c>
      <c r="Z796" s="2">
        <v>2</v>
      </c>
      <c r="AA796" s="2">
        <v>0</v>
      </c>
      <c r="AB796" s="2">
        <v>0</v>
      </c>
      <c r="AC796" s="2">
        <v>8</v>
      </c>
    </row>
    <row r="797" spans="1:29" x14ac:dyDescent="0.35">
      <c r="A797" s="1" t="s">
        <v>828</v>
      </c>
      <c r="B797" s="1" t="s">
        <v>829</v>
      </c>
      <c r="C797">
        <f>D797+E797+F797+G797+H797+I797</f>
        <v>14</v>
      </c>
      <c r="D797" s="2">
        <v>0</v>
      </c>
      <c r="E797" s="2">
        <v>0</v>
      </c>
      <c r="F797" s="2">
        <v>2</v>
      </c>
      <c r="G797" s="2">
        <v>7</v>
      </c>
      <c r="H797" s="2">
        <v>5</v>
      </c>
      <c r="I797" s="2">
        <v>0</v>
      </c>
      <c r="J797" s="2">
        <v>12</v>
      </c>
      <c r="K797">
        <f>J797+L797</f>
        <v>15</v>
      </c>
      <c r="L797" s="2">
        <v>3</v>
      </c>
      <c r="M797" s="2">
        <v>0</v>
      </c>
      <c r="N797" s="2">
        <v>213</v>
      </c>
      <c r="O797" s="3">
        <f>N797/J797</f>
        <v>17.75</v>
      </c>
      <c r="P797" s="2">
        <v>1</v>
      </c>
      <c r="Q797" s="2">
        <v>0</v>
      </c>
      <c r="R797" s="2">
        <v>61</v>
      </c>
      <c r="S797" s="2">
        <v>63</v>
      </c>
      <c r="T797" s="2">
        <v>8</v>
      </c>
      <c r="U797" s="2">
        <v>8</v>
      </c>
      <c r="V797" s="2">
        <v>251</v>
      </c>
      <c r="W797" s="3">
        <f>V797/S797</f>
        <v>3.9841269841269842</v>
      </c>
      <c r="X797" s="3">
        <f>V797/U797</f>
        <v>31.375</v>
      </c>
      <c r="Y797" s="4">
        <f>S797*6/U797</f>
        <v>47.25</v>
      </c>
      <c r="Z797" s="2">
        <v>3</v>
      </c>
      <c r="AA797" s="2">
        <v>0</v>
      </c>
      <c r="AB797" s="2">
        <v>0</v>
      </c>
      <c r="AC797" s="2">
        <v>2</v>
      </c>
    </row>
    <row r="798" spans="1:29" x14ac:dyDescent="0.35">
      <c r="A798" s="1" t="s">
        <v>830</v>
      </c>
      <c r="B798" s="1" t="s">
        <v>831</v>
      </c>
      <c r="C798">
        <f>D798+E798+F798+G798+H798+I798</f>
        <v>3</v>
      </c>
      <c r="D798" s="2">
        <v>0</v>
      </c>
      <c r="E798" s="2">
        <v>0</v>
      </c>
      <c r="F798" s="2">
        <v>0</v>
      </c>
      <c r="G798" s="2">
        <v>3</v>
      </c>
      <c r="H798" s="2">
        <v>0</v>
      </c>
      <c r="I798" s="2">
        <v>0</v>
      </c>
      <c r="J798" s="2">
        <v>3</v>
      </c>
      <c r="K798">
        <f>J798+L798</f>
        <v>4</v>
      </c>
      <c r="L798" s="2">
        <v>1</v>
      </c>
      <c r="M798" s="2">
        <v>0</v>
      </c>
      <c r="N798" s="2">
        <v>19</v>
      </c>
      <c r="O798" s="3">
        <f>N798/J798</f>
        <v>6.333333333333333</v>
      </c>
      <c r="P798" s="2">
        <v>0</v>
      </c>
      <c r="Q798" s="2">
        <v>0</v>
      </c>
      <c r="R798" s="2">
        <v>7</v>
      </c>
      <c r="S798" s="2">
        <v>0</v>
      </c>
      <c r="T798" s="2">
        <v>0</v>
      </c>
      <c r="U798" s="2">
        <v>0</v>
      </c>
      <c r="V798" s="2">
        <v>0</v>
      </c>
      <c r="W798" s="3" t="e">
        <f>V798/S798</f>
        <v>#DIV/0!</v>
      </c>
      <c r="X798" s="3" t="e">
        <f>V798/U798</f>
        <v>#DIV/0!</v>
      </c>
      <c r="Y798" s="4" t="e">
        <f>S798*6/U798</f>
        <v>#DIV/0!</v>
      </c>
      <c r="Z798" s="2">
        <v>0</v>
      </c>
      <c r="AA798" s="2">
        <v>0</v>
      </c>
      <c r="AB798" s="2">
        <v>0</v>
      </c>
      <c r="AC798" s="2">
        <v>1</v>
      </c>
    </row>
    <row r="799" spans="1:29" x14ac:dyDescent="0.35">
      <c r="A799" s="1" t="s">
        <v>832</v>
      </c>
      <c r="B799" s="1" t="s">
        <v>24</v>
      </c>
      <c r="C799">
        <f>D799+E799+F799+G799+H799+I799</f>
        <v>26</v>
      </c>
      <c r="D799" s="2">
        <v>0</v>
      </c>
      <c r="E799" s="2">
        <v>0</v>
      </c>
      <c r="F799" s="2">
        <v>1</v>
      </c>
      <c r="G799" s="2">
        <v>9</v>
      </c>
      <c r="H799" s="2">
        <v>4</v>
      </c>
      <c r="I799" s="2">
        <v>12</v>
      </c>
      <c r="J799" s="2">
        <v>24</v>
      </c>
      <c r="K799">
        <f>J799+L799</f>
        <v>26</v>
      </c>
      <c r="L799" s="2">
        <v>2</v>
      </c>
      <c r="M799" s="2">
        <v>6</v>
      </c>
      <c r="N799" s="2">
        <v>268</v>
      </c>
      <c r="O799" s="3">
        <f>N799/J799</f>
        <v>11.166666666666666</v>
      </c>
      <c r="P799" s="2">
        <v>0</v>
      </c>
      <c r="Q799" s="2">
        <v>0</v>
      </c>
      <c r="R799" s="2">
        <v>44</v>
      </c>
      <c r="S799" s="2">
        <v>282</v>
      </c>
      <c r="T799" s="2">
        <v>53</v>
      </c>
      <c r="U799" s="2">
        <v>36</v>
      </c>
      <c r="V799" s="2">
        <v>795</v>
      </c>
      <c r="W799" s="3">
        <f>V799/S799</f>
        <v>2.8191489361702127</v>
      </c>
      <c r="X799" s="3">
        <f>V799/U799</f>
        <v>22.083333333333332</v>
      </c>
      <c r="Y799" s="4">
        <f>S799*6/U799</f>
        <v>47</v>
      </c>
      <c r="Z799" s="2">
        <v>5</v>
      </c>
      <c r="AA799" s="2">
        <v>2</v>
      </c>
      <c r="AB799" s="2">
        <v>0</v>
      </c>
      <c r="AC799" s="2">
        <v>5</v>
      </c>
    </row>
    <row r="800" spans="1:29" x14ac:dyDescent="0.35">
      <c r="A800" s="1" t="s">
        <v>833</v>
      </c>
      <c r="B800" s="1" t="s">
        <v>395</v>
      </c>
      <c r="C800">
        <f>D800+E800+F800+G800+H800+I800</f>
        <v>6</v>
      </c>
      <c r="D800" s="2">
        <v>0</v>
      </c>
      <c r="E800" s="2">
        <v>0</v>
      </c>
      <c r="F800" s="2">
        <v>6</v>
      </c>
      <c r="G800" s="2">
        <v>0</v>
      </c>
      <c r="H800" s="2">
        <v>0</v>
      </c>
      <c r="I800" s="2">
        <v>0</v>
      </c>
      <c r="J800" s="2">
        <v>6</v>
      </c>
      <c r="K800">
        <f>J800+L800</f>
        <v>6</v>
      </c>
      <c r="L800" s="2">
        <v>0</v>
      </c>
      <c r="M800" s="2">
        <v>0</v>
      </c>
      <c r="N800" s="2">
        <v>136</v>
      </c>
      <c r="O800" s="3">
        <f>N800/J800</f>
        <v>22.666666666666668</v>
      </c>
      <c r="P800" s="2">
        <v>0</v>
      </c>
      <c r="Q800" s="2">
        <v>0</v>
      </c>
      <c r="R800" s="2">
        <v>38</v>
      </c>
      <c r="S800" s="2">
        <v>14</v>
      </c>
      <c r="T800" s="2">
        <v>0</v>
      </c>
      <c r="U800" s="2">
        <v>0</v>
      </c>
      <c r="V800" s="2">
        <v>48</v>
      </c>
      <c r="W800" s="3">
        <f>V800/S800</f>
        <v>3.4285714285714284</v>
      </c>
      <c r="X800" s="3" t="e">
        <f>V800/U800</f>
        <v>#DIV/0!</v>
      </c>
      <c r="Y800" s="4" t="e">
        <f>S800*6/U800</f>
        <v>#DIV/0!</v>
      </c>
      <c r="Z800" s="2">
        <v>0</v>
      </c>
      <c r="AA800" s="2">
        <v>0</v>
      </c>
      <c r="AB800" s="2">
        <v>0</v>
      </c>
      <c r="AC800" s="2">
        <v>5</v>
      </c>
    </row>
    <row r="801" spans="1:29" x14ac:dyDescent="0.35">
      <c r="A801" s="1" t="s">
        <v>834</v>
      </c>
      <c r="B801" s="1" t="s">
        <v>434</v>
      </c>
      <c r="C801">
        <f>D801+E801+F801+G801+H801+I801</f>
        <v>12</v>
      </c>
      <c r="D801" s="2">
        <v>0</v>
      </c>
      <c r="E801" s="2">
        <v>0</v>
      </c>
      <c r="F801" s="2">
        <v>3</v>
      </c>
      <c r="G801" s="2">
        <v>0</v>
      </c>
      <c r="H801" s="2">
        <v>6</v>
      </c>
      <c r="I801" s="2">
        <v>3</v>
      </c>
      <c r="J801" s="2">
        <v>9</v>
      </c>
      <c r="K801">
        <f>J801+L801</f>
        <v>12</v>
      </c>
      <c r="L801" s="2">
        <v>3</v>
      </c>
      <c r="M801" s="2">
        <v>2</v>
      </c>
      <c r="N801" s="2">
        <v>70</v>
      </c>
      <c r="O801" s="3">
        <f>N801/J801</f>
        <v>7.7777777777777777</v>
      </c>
      <c r="P801" s="2">
        <v>0</v>
      </c>
      <c r="Q801" s="2">
        <v>0</v>
      </c>
      <c r="R801" s="2">
        <v>16</v>
      </c>
      <c r="S801" s="2">
        <v>137</v>
      </c>
      <c r="T801" s="2">
        <v>20</v>
      </c>
      <c r="U801" s="2">
        <v>22</v>
      </c>
      <c r="V801" s="2">
        <v>457</v>
      </c>
      <c r="W801" s="3">
        <f>V801/S801</f>
        <v>3.335766423357664</v>
      </c>
      <c r="X801" s="3">
        <f>V801/U801</f>
        <v>20.772727272727273</v>
      </c>
      <c r="Y801" s="4">
        <f>S801*6/U801</f>
        <v>37.363636363636367</v>
      </c>
      <c r="Z801" s="2">
        <v>6</v>
      </c>
      <c r="AA801" s="2">
        <v>2</v>
      </c>
      <c r="AB801" s="2">
        <v>0</v>
      </c>
      <c r="AC801" s="2">
        <v>2</v>
      </c>
    </row>
    <row r="802" spans="1:29" x14ac:dyDescent="0.35">
      <c r="A802" s="1" t="s">
        <v>835</v>
      </c>
      <c r="B802" s="1" t="s">
        <v>836</v>
      </c>
      <c r="C802">
        <f>D802+E802+F802+G802+H802+I802</f>
        <v>4</v>
      </c>
      <c r="D802" s="2">
        <v>0</v>
      </c>
      <c r="E802" s="2">
        <v>0</v>
      </c>
      <c r="F802" s="2">
        <v>3</v>
      </c>
      <c r="G802" s="2">
        <v>1</v>
      </c>
      <c r="H802" s="2">
        <v>0</v>
      </c>
      <c r="I802" s="2">
        <v>0</v>
      </c>
      <c r="J802" s="2">
        <v>3</v>
      </c>
      <c r="K802">
        <f>J802+L802</f>
        <v>3</v>
      </c>
      <c r="L802" s="2">
        <v>0</v>
      </c>
      <c r="M802" s="2">
        <v>2</v>
      </c>
      <c r="N802" s="2">
        <v>34</v>
      </c>
      <c r="O802" s="3">
        <f>N802/J802</f>
        <v>11.333333333333334</v>
      </c>
      <c r="P802" s="2">
        <v>0</v>
      </c>
      <c r="Q802" s="2">
        <v>0</v>
      </c>
      <c r="R802" s="2">
        <v>17</v>
      </c>
      <c r="S802" s="2">
        <v>18</v>
      </c>
      <c r="T802" s="2">
        <v>3</v>
      </c>
      <c r="U802" s="2">
        <v>1</v>
      </c>
      <c r="V802" s="2">
        <v>89</v>
      </c>
      <c r="W802" s="3">
        <f>V802/S802</f>
        <v>4.9444444444444446</v>
      </c>
      <c r="X802" s="3">
        <f>V802/U802</f>
        <v>89</v>
      </c>
      <c r="Y802" s="4">
        <f>S802*6/U802</f>
        <v>108</v>
      </c>
      <c r="Z802" s="2">
        <v>1</v>
      </c>
      <c r="AA802" s="2">
        <v>0</v>
      </c>
      <c r="AB802" s="2">
        <v>0</v>
      </c>
      <c r="AC802" s="2">
        <v>0</v>
      </c>
    </row>
    <row r="803" spans="1:29" x14ac:dyDescent="0.35">
      <c r="A803" s="1" t="s">
        <v>837</v>
      </c>
      <c r="B803" s="1" t="s">
        <v>18</v>
      </c>
      <c r="C803">
        <f>D803+E803+F803+G803+H803+I803</f>
        <v>30</v>
      </c>
      <c r="D803" s="2">
        <v>0</v>
      </c>
      <c r="E803" s="2">
        <v>0</v>
      </c>
      <c r="F803" s="2">
        <v>0</v>
      </c>
      <c r="G803" s="2">
        <v>1</v>
      </c>
      <c r="H803" s="2">
        <v>4</v>
      </c>
      <c r="I803" s="2">
        <v>25</v>
      </c>
      <c r="J803" s="2">
        <v>28</v>
      </c>
      <c r="K803">
        <f>J803+L803</f>
        <v>32</v>
      </c>
      <c r="L803" s="2">
        <v>4</v>
      </c>
      <c r="M803" s="2">
        <v>1</v>
      </c>
      <c r="N803" s="2">
        <v>271</v>
      </c>
      <c r="O803" s="3">
        <f>N803/J803</f>
        <v>9.6785714285714288</v>
      </c>
      <c r="P803" s="2">
        <v>1</v>
      </c>
      <c r="Q803" s="2">
        <v>0</v>
      </c>
      <c r="R803" s="2">
        <v>57</v>
      </c>
      <c r="S803" s="2">
        <v>10</v>
      </c>
      <c r="T803" s="2">
        <v>2</v>
      </c>
      <c r="U803" s="2">
        <v>2</v>
      </c>
      <c r="V803" s="2">
        <v>19</v>
      </c>
      <c r="W803" s="3">
        <f>V803/S803</f>
        <v>1.9</v>
      </c>
      <c r="X803" s="3">
        <f>V803/U803</f>
        <v>9.5</v>
      </c>
      <c r="Y803" s="4">
        <f>S803*6/U803</f>
        <v>30</v>
      </c>
      <c r="Z803" s="2">
        <v>2</v>
      </c>
      <c r="AA803" s="2">
        <v>0</v>
      </c>
      <c r="AB803" s="2">
        <v>0</v>
      </c>
      <c r="AC803" s="2">
        <v>1</v>
      </c>
    </row>
    <row r="804" spans="1:29" x14ac:dyDescent="0.35">
      <c r="A804" s="1" t="s">
        <v>838</v>
      </c>
      <c r="B804" s="1" t="s">
        <v>97</v>
      </c>
      <c r="C804">
        <f>D804+E804+F804+G804+H804+I804</f>
        <v>1</v>
      </c>
      <c r="D804" s="2">
        <v>0</v>
      </c>
      <c r="E804" s="2">
        <v>0</v>
      </c>
      <c r="F804" s="2">
        <v>1</v>
      </c>
      <c r="G804" s="2">
        <v>0</v>
      </c>
      <c r="H804" s="2">
        <v>0</v>
      </c>
      <c r="I804" s="2">
        <v>0</v>
      </c>
      <c r="J804" s="2">
        <v>1</v>
      </c>
      <c r="K804">
        <f>J804+L804</f>
        <v>1</v>
      </c>
      <c r="L804" s="2">
        <v>0</v>
      </c>
      <c r="M804" s="2">
        <v>0</v>
      </c>
      <c r="N804" s="2">
        <v>15</v>
      </c>
      <c r="O804" s="3">
        <f>N804/J804</f>
        <v>15</v>
      </c>
      <c r="P804" s="2">
        <v>0</v>
      </c>
      <c r="Q804" s="2">
        <v>0</v>
      </c>
      <c r="R804" s="2">
        <v>15</v>
      </c>
      <c r="S804" s="2">
        <v>11</v>
      </c>
      <c r="T804" s="2">
        <v>3</v>
      </c>
      <c r="U804" s="2">
        <v>0</v>
      </c>
      <c r="V804" s="2">
        <v>43</v>
      </c>
      <c r="W804" s="3">
        <f>V804/S804</f>
        <v>3.9090909090909092</v>
      </c>
      <c r="X804" s="3" t="e">
        <f>V804/U804</f>
        <v>#DIV/0!</v>
      </c>
      <c r="Y804" s="4" t="e">
        <f>S804*6/U804</f>
        <v>#DIV/0!</v>
      </c>
      <c r="Z804" s="2">
        <v>0</v>
      </c>
      <c r="AA804" s="2">
        <v>0</v>
      </c>
      <c r="AB804" s="2">
        <v>0</v>
      </c>
      <c r="AC804" s="2">
        <v>0</v>
      </c>
    </row>
    <row r="805" spans="1:29" x14ac:dyDescent="0.35">
      <c r="A805" s="1" t="s">
        <v>839</v>
      </c>
      <c r="B805" s="1" t="s">
        <v>18</v>
      </c>
      <c r="C805">
        <f>D805+E805+F805+G805+H805+I805</f>
        <v>27</v>
      </c>
      <c r="D805" s="2">
        <v>0</v>
      </c>
      <c r="E805" s="2">
        <v>24</v>
      </c>
      <c r="F805" s="2">
        <v>1</v>
      </c>
      <c r="G805" s="2">
        <v>1</v>
      </c>
      <c r="H805" s="2">
        <v>0</v>
      </c>
      <c r="I805" s="2">
        <v>1</v>
      </c>
      <c r="J805" s="2">
        <v>27</v>
      </c>
      <c r="K805">
        <f>J805+L805</f>
        <v>28</v>
      </c>
      <c r="L805" s="2">
        <v>1</v>
      </c>
      <c r="M805" s="2">
        <v>2</v>
      </c>
      <c r="N805" s="2">
        <v>712</v>
      </c>
      <c r="O805" s="3">
        <f>N805/J805</f>
        <v>26.37037037037037</v>
      </c>
      <c r="P805" s="2">
        <v>3</v>
      </c>
      <c r="Q805" s="2">
        <v>1</v>
      </c>
      <c r="R805" s="2">
        <v>110</v>
      </c>
      <c r="S805" s="2">
        <v>1</v>
      </c>
      <c r="T805" s="2">
        <v>0</v>
      </c>
      <c r="U805" s="2">
        <v>1</v>
      </c>
      <c r="V805" s="2">
        <v>1</v>
      </c>
      <c r="W805" s="3">
        <f>V805/S805</f>
        <v>1</v>
      </c>
      <c r="X805" s="3">
        <f>V805/U805</f>
        <v>1</v>
      </c>
      <c r="Y805" s="4">
        <f>S805*6/U805</f>
        <v>6</v>
      </c>
      <c r="Z805" s="2">
        <v>1</v>
      </c>
      <c r="AA805" s="2">
        <v>0</v>
      </c>
      <c r="AB805" s="2">
        <v>0</v>
      </c>
      <c r="AC805" s="2">
        <v>12</v>
      </c>
    </row>
    <row r="806" spans="1:29" x14ac:dyDescent="0.35">
      <c r="A806" s="1" t="s">
        <v>840</v>
      </c>
      <c r="B806" s="1" t="s">
        <v>178</v>
      </c>
      <c r="C806">
        <f>D806+E806+F806+G806+H806+I806</f>
        <v>9</v>
      </c>
      <c r="D806" s="2">
        <v>0</v>
      </c>
      <c r="E806" s="2">
        <v>3</v>
      </c>
      <c r="F806" s="2">
        <v>0</v>
      </c>
      <c r="G806" s="2">
        <v>0</v>
      </c>
      <c r="H806" s="2">
        <v>0</v>
      </c>
      <c r="I806" s="2">
        <v>6</v>
      </c>
      <c r="J806" s="2">
        <v>8</v>
      </c>
      <c r="K806">
        <f>J806+L806</f>
        <v>9</v>
      </c>
      <c r="L806" s="2">
        <v>1</v>
      </c>
      <c r="M806" s="2">
        <v>1</v>
      </c>
      <c r="N806" s="2">
        <f>32+90</f>
        <v>122</v>
      </c>
      <c r="O806" s="3">
        <f>N806/J806</f>
        <v>15.25</v>
      </c>
      <c r="P806" s="2">
        <v>0</v>
      </c>
      <c r="Q806" s="2">
        <v>0</v>
      </c>
      <c r="R806" s="2">
        <v>30</v>
      </c>
      <c r="S806" s="2">
        <f>17+45</f>
        <v>62</v>
      </c>
      <c r="T806" s="2">
        <v>10</v>
      </c>
      <c r="U806" s="2">
        <v>12</v>
      </c>
      <c r="V806" s="2">
        <v>175</v>
      </c>
      <c r="W806" s="3">
        <f>V806/S806</f>
        <v>2.8225806451612905</v>
      </c>
      <c r="X806" s="3">
        <f>V806/U806</f>
        <v>14.583333333333334</v>
      </c>
      <c r="Y806" s="4">
        <f>S806*6/U806</f>
        <v>31</v>
      </c>
      <c r="Z806" s="2" t="s">
        <v>1286</v>
      </c>
      <c r="AA806" s="2">
        <v>0</v>
      </c>
      <c r="AB806" s="2">
        <v>0</v>
      </c>
      <c r="AC806" s="2">
        <v>1</v>
      </c>
    </row>
    <row r="807" spans="1:29" x14ac:dyDescent="0.35">
      <c r="A807" s="1" t="s">
        <v>841</v>
      </c>
      <c r="B807" s="1" t="s">
        <v>325</v>
      </c>
      <c r="C807">
        <f>D807+E807+F807+G807+H807+I807</f>
        <v>7</v>
      </c>
      <c r="D807" s="2">
        <v>7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J807" s="2">
        <v>7</v>
      </c>
      <c r="K807">
        <f>J807+L807</f>
        <v>7</v>
      </c>
      <c r="L807" s="2">
        <v>0</v>
      </c>
      <c r="M807" s="2">
        <v>0</v>
      </c>
      <c r="N807" s="2">
        <v>124</v>
      </c>
      <c r="O807" s="3">
        <f>N807/J807</f>
        <v>17.714285714285715</v>
      </c>
      <c r="P807" s="2">
        <v>0</v>
      </c>
      <c r="Q807" s="2">
        <v>0</v>
      </c>
      <c r="R807" s="2">
        <v>47</v>
      </c>
      <c r="S807" s="2">
        <v>127</v>
      </c>
      <c r="T807" s="2">
        <v>30</v>
      </c>
      <c r="U807" s="2">
        <v>19</v>
      </c>
      <c r="V807" s="2">
        <v>322</v>
      </c>
      <c r="W807" s="3">
        <f>V807/S807</f>
        <v>2.5354330708661417</v>
      </c>
      <c r="X807" s="3">
        <f>V807/U807</f>
        <v>16.94736842105263</v>
      </c>
      <c r="Y807" s="4">
        <f>S807*6/U807</f>
        <v>40.10526315789474</v>
      </c>
      <c r="Z807" s="2">
        <v>4</v>
      </c>
      <c r="AA807" s="2">
        <v>0</v>
      </c>
      <c r="AB807" s="2">
        <v>0</v>
      </c>
      <c r="AC807" s="2">
        <v>3</v>
      </c>
    </row>
    <row r="808" spans="1:29" x14ac:dyDescent="0.35">
      <c r="A808" s="1" t="s">
        <v>842</v>
      </c>
      <c r="B808" s="1" t="s">
        <v>134</v>
      </c>
      <c r="C808">
        <f>D808+E808+F808+G808+H808+I808</f>
        <v>5</v>
      </c>
      <c r="D808" s="2">
        <v>4</v>
      </c>
      <c r="E808" s="2">
        <v>1</v>
      </c>
      <c r="F808" s="2">
        <v>0</v>
      </c>
      <c r="G808" s="2">
        <v>0</v>
      </c>
      <c r="H808" s="2">
        <v>0</v>
      </c>
      <c r="I808" s="2">
        <v>0</v>
      </c>
      <c r="J808" s="2">
        <v>4</v>
      </c>
      <c r="K808">
        <f>J808+L808</f>
        <v>4</v>
      </c>
      <c r="L808" s="2">
        <v>0</v>
      </c>
      <c r="M808" s="2">
        <v>1</v>
      </c>
      <c r="N808" s="2">
        <v>33</v>
      </c>
      <c r="O808" s="3">
        <f>N808/J808</f>
        <v>8.25</v>
      </c>
      <c r="P808" s="2">
        <v>0</v>
      </c>
      <c r="Q808" s="2">
        <v>0</v>
      </c>
      <c r="R808" s="2">
        <v>15</v>
      </c>
      <c r="S808" s="2">
        <v>0</v>
      </c>
      <c r="T808" s="2">
        <v>0</v>
      </c>
      <c r="U808" s="2">
        <v>0</v>
      </c>
      <c r="V808" s="2">
        <v>0</v>
      </c>
      <c r="W808" s="3" t="e">
        <f>V808/S808</f>
        <v>#DIV/0!</v>
      </c>
      <c r="X808" s="3" t="e">
        <f>V808/U808</f>
        <v>#DIV/0!</v>
      </c>
      <c r="Y808" s="4" t="e">
        <f>S808*6/U808</f>
        <v>#DIV/0!</v>
      </c>
      <c r="Z808" s="2">
        <v>0</v>
      </c>
      <c r="AA808" s="2">
        <v>0</v>
      </c>
      <c r="AB808" s="2">
        <v>0</v>
      </c>
      <c r="AC808" s="2">
        <v>2</v>
      </c>
    </row>
    <row r="809" spans="1:29" x14ac:dyDescent="0.35">
      <c r="A809" s="1" t="s">
        <v>843</v>
      </c>
      <c r="B809" s="1" t="s">
        <v>156</v>
      </c>
      <c r="C809">
        <f>D809+E809+F809+G809+H809+I809</f>
        <v>13</v>
      </c>
      <c r="D809" s="2">
        <v>8</v>
      </c>
      <c r="E809" s="2">
        <v>5</v>
      </c>
      <c r="F809" s="2">
        <v>0</v>
      </c>
      <c r="G809" s="2">
        <v>0</v>
      </c>
      <c r="H809" s="2">
        <v>0</v>
      </c>
      <c r="I809" s="2">
        <v>0</v>
      </c>
      <c r="J809" s="2">
        <v>11</v>
      </c>
      <c r="K809">
        <f>J809+L809</f>
        <v>12</v>
      </c>
      <c r="L809" s="2">
        <v>1</v>
      </c>
      <c r="M809" s="2">
        <v>1</v>
      </c>
      <c r="N809" s="2">
        <v>290</v>
      </c>
      <c r="O809" s="3">
        <f>N809/J809</f>
        <v>26.363636363636363</v>
      </c>
      <c r="P809" s="2">
        <v>2</v>
      </c>
      <c r="Q809" s="2">
        <v>0</v>
      </c>
      <c r="R809" s="2">
        <v>84</v>
      </c>
      <c r="S809" s="2">
        <v>10</v>
      </c>
      <c r="T809" s="2">
        <v>1</v>
      </c>
      <c r="U809" s="2">
        <v>3</v>
      </c>
      <c r="V809" s="2">
        <v>40</v>
      </c>
      <c r="W809" s="3">
        <f>V809/S809</f>
        <v>4</v>
      </c>
      <c r="X809" s="3">
        <f>V809/U809</f>
        <v>13.333333333333334</v>
      </c>
      <c r="Y809" s="4">
        <f>S809*6/U809</f>
        <v>20</v>
      </c>
      <c r="Z809" s="2">
        <v>2</v>
      </c>
      <c r="AA809" s="2">
        <v>0</v>
      </c>
      <c r="AB809" s="2">
        <v>0</v>
      </c>
      <c r="AC809" s="2">
        <v>6</v>
      </c>
    </row>
    <row r="810" spans="1:29" x14ac:dyDescent="0.35">
      <c r="A810" s="11" t="s">
        <v>1161</v>
      </c>
      <c r="B810" s="11" t="s">
        <v>1162</v>
      </c>
      <c r="C810">
        <f>D810+E810+F810+G810+H810+I810</f>
        <v>4</v>
      </c>
      <c r="D810" s="2">
        <v>0</v>
      </c>
      <c r="E810" s="2">
        <v>0</v>
      </c>
      <c r="F810" s="2">
        <v>0</v>
      </c>
      <c r="G810" s="2">
        <v>4</v>
      </c>
      <c r="H810" s="2">
        <v>0</v>
      </c>
      <c r="I810" s="2">
        <v>0</v>
      </c>
      <c r="J810" s="2">
        <v>2</v>
      </c>
      <c r="K810">
        <f>J810+L810</f>
        <v>4</v>
      </c>
      <c r="L810" s="2">
        <v>2</v>
      </c>
      <c r="M810" s="2">
        <v>0</v>
      </c>
      <c r="N810" s="2">
        <v>58</v>
      </c>
      <c r="O810" s="3">
        <f>N810/J810</f>
        <v>29</v>
      </c>
      <c r="P810" s="2">
        <v>0</v>
      </c>
      <c r="Q810" s="2">
        <v>0</v>
      </c>
      <c r="R810" s="11" t="s">
        <v>1163</v>
      </c>
      <c r="S810" s="11">
        <v>9</v>
      </c>
      <c r="T810" s="11">
        <v>0</v>
      </c>
      <c r="U810" s="11">
        <v>2</v>
      </c>
      <c r="V810" s="11">
        <v>51</v>
      </c>
      <c r="W810" s="3">
        <f>51/9</f>
        <v>5.666666666666667</v>
      </c>
      <c r="X810" s="3">
        <v>25.5</v>
      </c>
      <c r="Y810" s="4">
        <f>54/2</f>
        <v>27</v>
      </c>
      <c r="Z810" s="11" t="s">
        <v>1164</v>
      </c>
      <c r="AA810" s="11">
        <v>0</v>
      </c>
      <c r="AB810" s="2">
        <v>0</v>
      </c>
      <c r="AC810" s="2">
        <v>0</v>
      </c>
    </row>
    <row r="811" spans="1:29" x14ac:dyDescent="0.35">
      <c r="A811" s="36" t="s">
        <v>844</v>
      </c>
      <c r="B811" s="36" t="s">
        <v>811</v>
      </c>
      <c r="C811" s="18">
        <f>D811+E811+F811+G811+H811+I811</f>
        <v>41</v>
      </c>
      <c r="D811" s="21">
        <v>1</v>
      </c>
      <c r="E811" s="21">
        <v>12</v>
      </c>
      <c r="F811" s="21">
        <v>8</v>
      </c>
      <c r="G811" s="21">
        <v>15</v>
      </c>
      <c r="H811" s="21">
        <v>5</v>
      </c>
      <c r="I811" s="21">
        <v>0</v>
      </c>
      <c r="J811" s="21">
        <v>30</v>
      </c>
      <c r="K811" s="18">
        <f>J811+L811</f>
        <v>32</v>
      </c>
      <c r="L811" s="21">
        <v>2</v>
      </c>
      <c r="M811" s="21">
        <v>12</v>
      </c>
      <c r="N811" s="21">
        <f>205+56</f>
        <v>261</v>
      </c>
      <c r="O811" s="19">
        <f>N811/J811</f>
        <v>8.6999999999999993</v>
      </c>
      <c r="P811" s="21">
        <v>1</v>
      </c>
      <c r="Q811" s="21">
        <v>0</v>
      </c>
      <c r="R811" s="39">
        <v>64</v>
      </c>
      <c r="S811" s="39">
        <v>8</v>
      </c>
      <c r="T811" s="39">
        <v>2</v>
      </c>
      <c r="U811" s="39">
        <v>2</v>
      </c>
      <c r="V811" s="39">
        <v>32</v>
      </c>
      <c r="W811" s="19">
        <f>V811/S811</f>
        <v>4</v>
      </c>
      <c r="X811" s="19">
        <f>V811/U811</f>
        <v>16</v>
      </c>
      <c r="Y811" s="20">
        <f>S811*6/U811</f>
        <v>24</v>
      </c>
      <c r="Z811" s="39">
        <v>1</v>
      </c>
      <c r="AA811" s="39">
        <v>0</v>
      </c>
      <c r="AB811" s="21">
        <v>0</v>
      </c>
      <c r="AC811" s="21">
        <v>12</v>
      </c>
    </row>
    <row r="812" spans="1:29" x14ac:dyDescent="0.35">
      <c r="A812" s="1" t="s">
        <v>845</v>
      </c>
      <c r="B812" s="1" t="s">
        <v>846</v>
      </c>
      <c r="C812">
        <f>D812+E812+F812+G812+H812+I812</f>
        <v>64</v>
      </c>
      <c r="D812" s="2">
        <v>3</v>
      </c>
      <c r="E812" s="2">
        <v>14</v>
      </c>
      <c r="F812" s="2">
        <v>14</v>
      </c>
      <c r="G812" s="2">
        <v>22</v>
      </c>
      <c r="H812" s="2">
        <v>6</v>
      </c>
      <c r="I812" s="2">
        <v>5</v>
      </c>
      <c r="J812" s="2">
        <v>70</v>
      </c>
      <c r="K812">
        <f>J812+L812</f>
        <v>90</v>
      </c>
      <c r="L812" s="2">
        <v>20</v>
      </c>
      <c r="M812" s="2">
        <v>33</v>
      </c>
      <c r="N812" s="2">
        <v>1136</v>
      </c>
      <c r="O812" s="3">
        <f>N812/J812</f>
        <v>16.228571428571428</v>
      </c>
      <c r="P812" s="2">
        <v>2</v>
      </c>
      <c r="Q812" s="2">
        <v>0</v>
      </c>
      <c r="R812" s="2">
        <v>75</v>
      </c>
      <c r="S812" s="2">
        <v>898</v>
      </c>
      <c r="T812" s="2">
        <v>208</v>
      </c>
      <c r="U812" s="2">
        <v>142</v>
      </c>
      <c r="V812" s="2">
        <v>2642</v>
      </c>
      <c r="W812" s="3">
        <f>V812/S812</f>
        <v>2.9420935412026727</v>
      </c>
      <c r="X812" s="3">
        <f>V812/U812</f>
        <v>18.6056338028169</v>
      </c>
      <c r="Y812" s="4">
        <f>S812*6/U812</f>
        <v>37.943661971830984</v>
      </c>
      <c r="Z812" s="2">
        <v>4</v>
      </c>
      <c r="AA812" s="2">
        <v>0</v>
      </c>
      <c r="AB812" s="2">
        <v>0</v>
      </c>
      <c r="AC812" s="2">
        <v>25</v>
      </c>
    </row>
    <row r="813" spans="1:29" x14ac:dyDescent="0.35">
      <c r="A813" s="1" t="s">
        <v>847</v>
      </c>
      <c r="B813" s="1" t="s">
        <v>321</v>
      </c>
      <c r="C813">
        <f>D813+E813+F813+G813+H813+I813</f>
        <v>1</v>
      </c>
      <c r="D813" s="2">
        <v>0</v>
      </c>
      <c r="E813" s="2">
        <v>0</v>
      </c>
      <c r="F813" s="2">
        <v>0</v>
      </c>
      <c r="G813" s="2">
        <v>0</v>
      </c>
      <c r="H813" s="2">
        <v>1</v>
      </c>
      <c r="I813" s="2">
        <v>0</v>
      </c>
      <c r="J813" s="2">
        <v>1</v>
      </c>
      <c r="K813">
        <f>J813+L813</f>
        <v>1</v>
      </c>
      <c r="L813" s="2">
        <v>0</v>
      </c>
      <c r="M813" s="2">
        <v>0</v>
      </c>
      <c r="N813" s="2">
        <v>15</v>
      </c>
      <c r="O813" s="3">
        <f>N813/J813</f>
        <v>15</v>
      </c>
      <c r="P813" s="2">
        <v>0</v>
      </c>
      <c r="Q813" s="2">
        <v>0</v>
      </c>
      <c r="R813" s="2">
        <v>15</v>
      </c>
      <c r="S813" s="2">
        <v>11</v>
      </c>
      <c r="T813" s="2">
        <v>3</v>
      </c>
      <c r="U813" s="2">
        <v>1</v>
      </c>
      <c r="V813" s="2">
        <v>36</v>
      </c>
      <c r="W813" s="3">
        <f>V813/S813</f>
        <v>3.2727272727272729</v>
      </c>
      <c r="X813" s="3">
        <f>V813/U813</f>
        <v>36</v>
      </c>
      <c r="Y813" s="4">
        <f>S813*6/U813</f>
        <v>66</v>
      </c>
      <c r="Z813" s="2">
        <v>1</v>
      </c>
      <c r="AA813" s="2">
        <v>0</v>
      </c>
      <c r="AB813" s="2">
        <v>0</v>
      </c>
      <c r="AC813" s="2">
        <v>0</v>
      </c>
    </row>
    <row r="814" spans="1:29" x14ac:dyDescent="0.35">
      <c r="A814" s="1" t="s">
        <v>848</v>
      </c>
      <c r="B814" s="1" t="s">
        <v>20</v>
      </c>
      <c r="C814">
        <f>D814+E814+F814+G814+H814+I814</f>
        <v>26</v>
      </c>
      <c r="D814" s="2">
        <v>12</v>
      </c>
      <c r="E814" s="2">
        <v>11</v>
      </c>
      <c r="F814" s="2">
        <v>1</v>
      </c>
      <c r="G814" s="2">
        <v>2</v>
      </c>
      <c r="H814" s="2">
        <v>0</v>
      </c>
      <c r="I814" s="2">
        <v>0</v>
      </c>
      <c r="J814" s="2">
        <v>28</v>
      </c>
      <c r="K814">
        <f>J814+L814</f>
        <v>28</v>
      </c>
      <c r="L814" s="2">
        <v>0</v>
      </c>
      <c r="M814" s="2">
        <v>3</v>
      </c>
      <c r="N814" s="2">
        <v>484</v>
      </c>
      <c r="O814" s="3">
        <f>N814/J814</f>
        <v>17.285714285714285</v>
      </c>
      <c r="P814" s="2">
        <v>1</v>
      </c>
      <c r="Q814" s="2">
        <v>0</v>
      </c>
      <c r="R814" s="2">
        <v>68</v>
      </c>
      <c r="S814" s="2">
        <v>8</v>
      </c>
      <c r="T814" s="2">
        <v>1</v>
      </c>
      <c r="U814" s="2">
        <v>1</v>
      </c>
      <c r="V814" s="2">
        <v>33</v>
      </c>
      <c r="W814" s="3">
        <f>V814/S814</f>
        <v>4.125</v>
      </c>
      <c r="X814" s="3">
        <f>V814/U814</f>
        <v>33</v>
      </c>
      <c r="Y814" s="4">
        <f>S814*6/U814</f>
        <v>48</v>
      </c>
      <c r="Z814" s="2">
        <v>1</v>
      </c>
      <c r="AA814" s="2">
        <v>0</v>
      </c>
      <c r="AB814" s="2">
        <v>0</v>
      </c>
      <c r="AC814" s="2">
        <v>23</v>
      </c>
    </row>
    <row r="815" spans="1:29" x14ac:dyDescent="0.35">
      <c r="A815" s="11" t="s">
        <v>849</v>
      </c>
      <c r="B815" s="11" t="s">
        <v>1357</v>
      </c>
      <c r="C815">
        <f>D815+E815+F815+G815+H815+I815</f>
        <v>24</v>
      </c>
      <c r="D815" s="2">
        <v>24</v>
      </c>
      <c r="E815" s="2">
        <v>0</v>
      </c>
      <c r="F815" s="2">
        <v>0</v>
      </c>
      <c r="G815" s="2">
        <v>0</v>
      </c>
      <c r="H815" s="2">
        <v>0</v>
      </c>
      <c r="I815" s="2">
        <v>0</v>
      </c>
      <c r="J815" s="2">
        <v>19</v>
      </c>
      <c r="K815">
        <f>J815+L815</f>
        <v>23</v>
      </c>
      <c r="L815" s="2">
        <v>4</v>
      </c>
      <c r="M815" s="2">
        <v>2</v>
      </c>
      <c r="N815" s="2">
        <f>155+271</f>
        <v>426</v>
      </c>
      <c r="O815" s="3">
        <f>N815/J815</f>
        <v>22.421052631578949</v>
      </c>
      <c r="P815" s="2">
        <v>0</v>
      </c>
      <c r="Q815" s="2">
        <v>0</v>
      </c>
      <c r="R815" s="2">
        <v>43</v>
      </c>
      <c r="S815" s="11">
        <f>117+119.1</f>
        <v>236.1</v>
      </c>
      <c r="T815" s="11">
        <f>18+23</f>
        <v>41</v>
      </c>
      <c r="U815" s="11">
        <v>36</v>
      </c>
      <c r="V815" s="11">
        <f>399+450</f>
        <v>849</v>
      </c>
      <c r="W815" s="3">
        <f>V815/S815</f>
        <v>3.5959339263024144</v>
      </c>
      <c r="X815" s="3">
        <f>V815/U815</f>
        <v>23.583333333333332</v>
      </c>
      <c r="Y815" s="3">
        <f>S815*6/U815</f>
        <v>39.349999999999994</v>
      </c>
      <c r="Z815" s="11" t="s">
        <v>1398</v>
      </c>
      <c r="AA815" s="13">
        <v>1</v>
      </c>
      <c r="AB815" s="2">
        <v>0</v>
      </c>
      <c r="AC815" s="2">
        <v>3</v>
      </c>
    </row>
    <row r="816" spans="1:29" x14ac:dyDescent="0.35">
      <c r="A816" s="34" t="s">
        <v>849</v>
      </c>
      <c r="B816" s="25" t="s">
        <v>850</v>
      </c>
      <c r="C816">
        <f>D816+E816+F816+G816+H816+I816</f>
        <v>4</v>
      </c>
      <c r="D816" s="5">
        <v>0</v>
      </c>
      <c r="E816" s="5">
        <v>0</v>
      </c>
      <c r="F816" s="5">
        <v>4</v>
      </c>
      <c r="G816" s="5">
        <v>0</v>
      </c>
      <c r="H816" s="5">
        <v>0</v>
      </c>
      <c r="I816" s="5">
        <v>0</v>
      </c>
      <c r="J816" s="5">
        <v>3</v>
      </c>
      <c r="K816">
        <f>J816+L816</f>
        <v>3</v>
      </c>
      <c r="L816" s="5">
        <v>0</v>
      </c>
      <c r="M816" s="5">
        <v>1</v>
      </c>
      <c r="N816" s="5">
        <v>10</v>
      </c>
      <c r="O816" s="3">
        <f>N816/J816</f>
        <v>3.3333333333333335</v>
      </c>
      <c r="P816" s="5">
        <v>0</v>
      </c>
      <c r="Q816" s="5">
        <v>0</v>
      </c>
      <c r="R816" s="8">
        <v>6</v>
      </c>
      <c r="S816" s="6">
        <v>1</v>
      </c>
      <c r="T816" s="6">
        <v>0</v>
      </c>
      <c r="U816" s="6">
        <v>0</v>
      </c>
      <c r="V816" s="6">
        <v>26</v>
      </c>
      <c r="W816" s="3">
        <f>V816/S816</f>
        <v>26</v>
      </c>
      <c r="X816" s="3" t="e">
        <f>V816/U816</f>
        <v>#DIV/0!</v>
      </c>
      <c r="Y816" s="4" t="e">
        <f>S816*6/U816</f>
        <v>#DIV/0!</v>
      </c>
      <c r="Z816" s="6">
        <v>0</v>
      </c>
      <c r="AA816" s="6">
        <v>0</v>
      </c>
      <c r="AB816" s="5">
        <v>0</v>
      </c>
      <c r="AC816" s="5">
        <v>0</v>
      </c>
    </row>
    <row r="817" spans="1:29" x14ac:dyDescent="0.35">
      <c r="A817" s="1" t="s">
        <v>851</v>
      </c>
      <c r="B817" s="1" t="s">
        <v>182</v>
      </c>
      <c r="C817">
        <f>D817+E817+F817+G817+H817+I817</f>
        <v>1</v>
      </c>
      <c r="D817" s="2">
        <v>0</v>
      </c>
      <c r="E817" s="2">
        <v>0</v>
      </c>
      <c r="F817" s="2">
        <v>1</v>
      </c>
      <c r="G817" s="2">
        <v>0</v>
      </c>
      <c r="H817" s="2">
        <v>0</v>
      </c>
      <c r="I817" s="2">
        <v>0</v>
      </c>
      <c r="J817" s="2">
        <v>1</v>
      </c>
      <c r="K817">
        <f>J817+L817</f>
        <v>1</v>
      </c>
      <c r="L817" s="2">
        <v>0</v>
      </c>
      <c r="M817" s="2">
        <v>0</v>
      </c>
      <c r="N817" s="2">
        <v>10</v>
      </c>
      <c r="O817" s="3">
        <f>N817/J817</f>
        <v>10</v>
      </c>
      <c r="P817" s="2">
        <v>0</v>
      </c>
      <c r="Q817" s="2">
        <v>0</v>
      </c>
      <c r="R817" s="2">
        <v>10</v>
      </c>
      <c r="S817" s="2">
        <v>0</v>
      </c>
      <c r="T817" s="2">
        <v>0</v>
      </c>
      <c r="U817" s="2">
        <v>0</v>
      </c>
      <c r="V817" s="2">
        <v>0</v>
      </c>
      <c r="W817" s="3" t="e">
        <f>V817/S817</f>
        <v>#DIV/0!</v>
      </c>
      <c r="X817" s="3" t="e">
        <f>V817/U817</f>
        <v>#DIV/0!</v>
      </c>
      <c r="Y817" s="4" t="e">
        <f>S817*6/U817</f>
        <v>#DIV/0!</v>
      </c>
      <c r="Z817" s="2">
        <v>0</v>
      </c>
      <c r="AA817" s="2">
        <v>0</v>
      </c>
      <c r="AB817" s="2">
        <v>0</v>
      </c>
      <c r="AC817" s="2">
        <v>0</v>
      </c>
    </row>
    <row r="818" spans="1:29" x14ac:dyDescent="0.35">
      <c r="A818" s="1" t="s">
        <v>852</v>
      </c>
      <c r="B818" s="1" t="s">
        <v>853</v>
      </c>
      <c r="C818">
        <f>D818+E818+F818+G818+H818+I818</f>
        <v>11</v>
      </c>
      <c r="D818" s="2">
        <v>0</v>
      </c>
      <c r="E818" s="2">
        <v>0</v>
      </c>
      <c r="F818" s="2">
        <v>0</v>
      </c>
      <c r="G818" s="2">
        <v>0</v>
      </c>
      <c r="H818" s="2">
        <v>7</v>
      </c>
      <c r="I818" s="2">
        <v>4</v>
      </c>
      <c r="J818" s="2">
        <v>8</v>
      </c>
      <c r="K818">
        <f>J818+L818</f>
        <v>9</v>
      </c>
      <c r="L818" s="2">
        <v>1</v>
      </c>
      <c r="M818" s="2">
        <v>1</v>
      </c>
      <c r="N818" s="2">
        <v>225</v>
      </c>
      <c r="O818" s="3">
        <f>N818/J818</f>
        <v>28.125</v>
      </c>
      <c r="P818" s="2">
        <v>1</v>
      </c>
      <c r="Q818" s="2">
        <v>0</v>
      </c>
      <c r="R818" s="2">
        <v>57</v>
      </c>
      <c r="S818" s="2">
        <v>9</v>
      </c>
      <c r="T818" s="2">
        <v>1</v>
      </c>
      <c r="U818" s="2">
        <v>3</v>
      </c>
      <c r="V818" s="2">
        <v>55</v>
      </c>
      <c r="W818" s="3">
        <f>V818/S818</f>
        <v>6.1111111111111107</v>
      </c>
      <c r="X818" s="3">
        <f>V818/U818</f>
        <v>18.333333333333332</v>
      </c>
      <c r="Y818" s="4">
        <f>S818*6/U818</f>
        <v>18</v>
      </c>
      <c r="Z818" s="2">
        <v>3</v>
      </c>
      <c r="AA818" s="2">
        <v>0</v>
      </c>
      <c r="AB818" s="2">
        <v>0</v>
      </c>
      <c r="AC818" s="2">
        <v>3</v>
      </c>
    </row>
    <row r="819" spans="1:29" x14ac:dyDescent="0.35">
      <c r="A819" s="11" t="s">
        <v>1103</v>
      </c>
      <c r="B819" s="11" t="s">
        <v>349</v>
      </c>
      <c r="C819">
        <f>D819+E819+F819+G819+H819+I819</f>
        <v>15</v>
      </c>
      <c r="D819" s="2">
        <v>15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J819" s="2">
        <v>15</v>
      </c>
      <c r="K819">
        <f>J819+L819</f>
        <v>15</v>
      </c>
      <c r="L819" s="2">
        <v>0</v>
      </c>
      <c r="M819" s="2">
        <v>0</v>
      </c>
      <c r="N819" s="11">
        <v>617</v>
      </c>
      <c r="O819" s="3">
        <f>N819/J819</f>
        <v>41.133333333333333</v>
      </c>
      <c r="P819" s="2">
        <v>5</v>
      </c>
      <c r="Q819" s="2">
        <v>1</v>
      </c>
      <c r="R819" s="2">
        <v>148</v>
      </c>
      <c r="S819" s="11">
        <v>92</v>
      </c>
      <c r="T819" s="11">
        <v>19</v>
      </c>
      <c r="U819" s="11">
        <v>18</v>
      </c>
      <c r="V819" s="11">
        <v>335</v>
      </c>
      <c r="W819">
        <v>3.64</v>
      </c>
      <c r="X819">
        <v>18.61</v>
      </c>
      <c r="Y819" s="4">
        <v>30.67</v>
      </c>
      <c r="Z819" s="11" t="s">
        <v>1104</v>
      </c>
      <c r="AA819" s="2">
        <v>1</v>
      </c>
      <c r="AB819" s="2">
        <v>0</v>
      </c>
      <c r="AC819" s="2">
        <v>6</v>
      </c>
    </row>
    <row r="820" spans="1:29" x14ac:dyDescent="0.35">
      <c r="A820" s="34" t="s">
        <v>854</v>
      </c>
      <c r="B820" s="34" t="s">
        <v>855</v>
      </c>
      <c r="C820">
        <f>D820+E820+F820+G820+H820+I820</f>
        <v>10</v>
      </c>
      <c r="D820" s="5">
        <v>0</v>
      </c>
      <c r="E820" s="5">
        <v>0</v>
      </c>
      <c r="F820" s="5">
        <v>10</v>
      </c>
      <c r="G820" s="5">
        <v>0</v>
      </c>
      <c r="H820" s="5">
        <v>0</v>
      </c>
      <c r="I820" s="5">
        <v>0</v>
      </c>
      <c r="J820" s="5">
        <v>5</v>
      </c>
      <c r="K820">
        <f>J820+L820</f>
        <v>7</v>
      </c>
      <c r="L820" s="5">
        <v>2</v>
      </c>
      <c r="M820" s="5">
        <v>3</v>
      </c>
      <c r="N820" s="40">
        <v>31</v>
      </c>
      <c r="O820" s="3">
        <f>N820/J820</f>
        <v>6.2</v>
      </c>
      <c r="P820" s="5">
        <v>0</v>
      </c>
      <c r="Q820" s="5">
        <v>0</v>
      </c>
      <c r="R820" s="5">
        <v>11</v>
      </c>
      <c r="S820" s="40">
        <v>80</v>
      </c>
      <c r="T820" s="40">
        <v>21</v>
      </c>
      <c r="U820" s="40">
        <v>13</v>
      </c>
      <c r="V820" s="40">
        <v>181</v>
      </c>
      <c r="W820" s="3">
        <f>V820/S820</f>
        <v>2.2625000000000002</v>
      </c>
      <c r="X820" s="3">
        <f>V820/U820</f>
        <v>13.923076923076923</v>
      </c>
      <c r="Y820" s="4">
        <f>S820*6/U820</f>
        <v>36.92307692307692</v>
      </c>
      <c r="Z820" s="40">
        <v>3</v>
      </c>
      <c r="AA820" s="5">
        <v>0</v>
      </c>
      <c r="AB820" s="5">
        <v>0</v>
      </c>
      <c r="AC820" s="5">
        <v>0</v>
      </c>
    </row>
    <row r="821" spans="1:29" x14ac:dyDescent="0.35">
      <c r="A821" s="1" t="s">
        <v>856</v>
      </c>
      <c r="B821" s="1" t="s">
        <v>857</v>
      </c>
      <c r="C821">
        <f>D821+E821+F821+G821+H821+I821</f>
        <v>12</v>
      </c>
      <c r="D821" s="2">
        <v>0</v>
      </c>
      <c r="E821" s="2">
        <v>0</v>
      </c>
      <c r="F821" s="2">
        <v>0</v>
      </c>
      <c r="G821" s="2">
        <v>12</v>
      </c>
      <c r="H821" s="2">
        <v>0</v>
      </c>
      <c r="I821" s="2">
        <v>0</v>
      </c>
      <c r="J821" s="2">
        <v>4</v>
      </c>
      <c r="K821">
        <f>J821+L821</f>
        <v>7</v>
      </c>
      <c r="L821" s="2">
        <v>3</v>
      </c>
      <c r="M821" s="2">
        <v>5</v>
      </c>
      <c r="N821" s="2">
        <v>26</v>
      </c>
      <c r="O821" s="3">
        <f>N821/J821</f>
        <v>6.5</v>
      </c>
      <c r="P821" s="2">
        <v>0</v>
      </c>
      <c r="Q821" s="2">
        <v>0</v>
      </c>
      <c r="R821" s="2">
        <v>15</v>
      </c>
      <c r="S821" s="2">
        <v>78</v>
      </c>
      <c r="T821" s="2">
        <v>4</v>
      </c>
      <c r="U821" s="2">
        <v>7</v>
      </c>
      <c r="V821" s="2">
        <v>310</v>
      </c>
      <c r="W821" s="3">
        <f>V821/S821</f>
        <v>3.9743589743589745</v>
      </c>
      <c r="X821" s="3">
        <f>V821/U821</f>
        <v>44.285714285714285</v>
      </c>
      <c r="Y821" s="4">
        <f>S821*6/U821</f>
        <v>66.857142857142861</v>
      </c>
      <c r="Z821" s="2">
        <v>1</v>
      </c>
      <c r="AA821" s="2">
        <v>0</v>
      </c>
      <c r="AB821" s="2">
        <v>0</v>
      </c>
      <c r="AC821" s="2">
        <v>0</v>
      </c>
    </row>
    <row r="822" spans="1:29" x14ac:dyDescent="0.35">
      <c r="A822" s="1" t="s">
        <v>858</v>
      </c>
      <c r="B822" s="1" t="s">
        <v>859</v>
      </c>
      <c r="C822">
        <f>D822+E822+F822+G822+H822+I822</f>
        <v>66</v>
      </c>
      <c r="D822" s="2">
        <v>0</v>
      </c>
      <c r="E822" s="2">
        <v>11</v>
      </c>
      <c r="F822" s="2">
        <v>26</v>
      </c>
      <c r="G822" s="2">
        <v>12</v>
      </c>
      <c r="H822" s="2">
        <v>17</v>
      </c>
      <c r="I822" s="2">
        <v>0</v>
      </c>
      <c r="J822" s="2">
        <v>32</v>
      </c>
      <c r="K822" s="35">
        <f>J822+L822</f>
        <v>40</v>
      </c>
      <c r="L822" s="2">
        <v>8</v>
      </c>
      <c r="M822" s="2">
        <v>27</v>
      </c>
      <c r="N822" s="2">
        <f>285+168</f>
        <v>453</v>
      </c>
      <c r="O822" s="3">
        <f>N822/J822</f>
        <v>14.15625</v>
      </c>
      <c r="P822" s="2">
        <v>1</v>
      </c>
      <c r="Q822" s="2">
        <v>0</v>
      </c>
      <c r="R822" s="2">
        <v>63</v>
      </c>
      <c r="S822" s="2">
        <f>291.2+117</f>
        <v>408.2</v>
      </c>
      <c r="T822" s="2">
        <f>58+27</f>
        <v>85</v>
      </c>
      <c r="U822" s="2">
        <f>51+27</f>
        <v>78</v>
      </c>
      <c r="V822" s="2">
        <f>864+307</f>
        <v>1171</v>
      </c>
      <c r="W822" s="3">
        <f>V822/S822</f>
        <v>2.8686918177364036</v>
      </c>
      <c r="X822" s="3">
        <f>V822/U822</f>
        <v>15.012820512820513</v>
      </c>
      <c r="Y822" s="4">
        <f>S822*6/U822</f>
        <v>31.4</v>
      </c>
      <c r="Z822" s="2" t="s">
        <v>1315</v>
      </c>
      <c r="AA822" s="2">
        <v>0</v>
      </c>
      <c r="AB822" s="2">
        <v>0</v>
      </c>
      <c r="AC822" s="2">
        <v>22</v>
      </c>
    </row>
    <row r="823" spans="1:29" x14ac:dyDescent="0.35">
      <c r="A823" s="35" t="s">
        <v>858</v>
      </c>
      <c r="B823" s="35" t="s">
        <v>1179</v>
      </c>
      <c r="C823">
        <f>D823+E823+F823+G823+H823+I823</f>
        <v>1</v>
      </c>
      <c r="D823" s="5">
        <v>0</v>
      </c>
      <c r="E823" s="5">
        <v>0</v>
      </c>
      <c r="F823" s="5">
        <v>0</v>
      </c>
      <c r="G823" s="5">
        <v>1</v>
      </c>
      <c r="H823" s="5">
        <v>0</v>
      </c>
      <c r="I823" s="5">
        <v>0</v>
      </c>
      <c r="J823" s="5">
        <v>1</v>
      </c>
      <c r="K823">
        <f>J823+L823</f>
        <v>1</v>
      </c>
      <c r="L823" s="5">
        <v>0</v>
      </c>
      <c r="M823" s="5">
        <v>0</v>
      </c>
      <c r="N823" s="8">
        <v>4</v>
      </c>
      <c r="O823" s="3">
        <f>N823/J823</f>
        <v>4</v>
      </c>
      <c r="P823" s="5">
        <v>0</v>
      </c>
      <c r="Q823" s="5">
        <v>0</v>
      </c>
      <c r="R823" s="5">
        <v>4</v>
      </c>
      <c r="S823" s="35">
        <v>1</v>
      </c>
      <c r="T823" s="35">
        <v>0</v>
      </c>
      <c r="U823" s="35">
        <v>0</v>
      </c>
      <c r="V823" s="35">
        <v>10</v>
      </c>
      <c r="W823" s="3">
        <v>10</v>
      </c>
      <c r="X823" s="3">
        <v>0</v>
      </c>
      <c r="Y823" s="4">
        <v>0</v>
      </c>
      <c r="Z823" s="35" t="s">
        <v>1180</v>
      </c>
      <c r="AA823" s="35">
        <v>0</v>
      </c>
      <c r="AB823" s="35">
        <v>0</v>
      </c>
      <c r="AC823" s="35">
        <v>0</v>
      </c>
    </row>
    <row r="824" spans="1:29" x14ac:dyDescent="0.35">
      <c r="A824" s="1" t="s">
        <v>860</v>
      </c>
      <c r="B824" s="1" t="s">
        <v>861</v>
      </c>
      <c r="C824">
        <f>D824+E824+F824+G824+H824+I824</f>
        <v>33</v>
      </c>
      <c r="D824" s="2">
        <v>0</v>
      </c>
      <c r="E824" s="2">
        <v>1</v>
      </c>
      <c r="F824" s="2">
        <v>21</v>
      </c>
      <c r="G824" s="2">
        <v>3</v>
      </c>
      <c r="H824" s="2">
        <v>8</v>
      </c>
      <c r="I824" s="2">
        <v>0</v>
      </c>
      <c r="J824" s="2">
        <v>22</v>
      </c>
      <c r="K824">
        <f>J824+L824</f>
        <v>27</v>
      </c>
      <c r="L824" s="2">
        <v>5</v>
      </c>
      <c r="M824" s="2">
        <v>7</v>
      </c>
      <c r="N824" s="2">
        <f>183+52</f>
        <v>235</v>
      </c>
      <c r="O824" s="3">
        <f>N824/J824</f>
        <v>10.681818181818182</v>
      </c>
      <c r="P824" s="2">
        <v>1</v>
      </c>
      <c r="Q824" s="2">
        <v>0</v>
      </c>
      <c r="R824" s="2" t="s">
        <v>1388</v>
      </c>
      <c r="S824" s="2">
        <f>86+11</f>
        <v>97</v>
      </c>
      <c r="T824" s="2">
        <v>12</v>
      </c>
      <c r="U824" s="2">
        <v>17</v>
      </c>
      <c r="V824" s="2">
        <f>326+35</f>
        <v>361</v>
      </c>
      <c r="W824" s="3">
        <f>V824/S824</f>
        <v>3.7216494845360826</v>
      </c>
      <c r="X824" s="3">
        <f>V824/U824</f>
        <v>21.235294117647058</v>
      </c>
      <c r="Y824" s="4">
        <f>S824*6/U824</f>
        <v>34.235294117647058</v>
      </c>
      <c r="Z824" s="35" t="s">
        <v>1341</v>
      </c>
      <c r="AA824" s="2">
        <v>0</v>
      </c>
      <c r="AB824" s="2">
        <v>0</v>
      </c>
      <c r="AC824" s="2">
        <v>10</v>
      </c>
    </row>
    <row r="825" spans="1:29" x14ac:dyDescent="0.35">
      <c r="A825" s="1" t="s">
        <v>862</v>
      </c>
      <c r="B825" s="1" t="s">
        <v>863</v>
      </c>
      <c r="C825">
        <f>D825+E825+F825+G825+H825+I825</f>
        <v>2</v>
      </c>
      <c r="D825" s="2">
        <v>0</v>
      </c>
      <c r="E825" s="2">
        <v>0</v>
      </c>
      <c r="F825" s="2">
        <v>0</v>
      </c>
      <c r="G825" s="2">
        <v>0</v>
      </c>
      <c r="H825" s="2">
        <v>2</v>
      </c>
      <c r="I825" s="2">
        <v>0</v>
      </c>
      <c r="J825" s="2">
        <v>0</v>
      </c>
      <c r="K825">
        <f>J825+L825</f>
        <v>0</v>
      </c>
      <c r="L825" s="2">
        <v>0</v>
      </c>
      <c r="M825" s="2">
        <v>2</v>
      </c>
      <c r="N825" s="2">
        <v>0</v>
      </c>
      <c r="O825" s="3" t="e">
        <f>N825/J825</f>
        <v>#DIV/0!</v>
      </c>
      <c r="P825" s="2">
        <v>0</v>
      </c>
      <c r="Q825" s="2">
        <v>0</v>
      </c>
      <c r="R825" s="2">
        <v>0</v>
      </c>
      <c r="S825" s="2">
        <v>14</v>
      </c>
      <c r="T825" s="2">
        <v>3</v>
      </c>
      <c r="U825" s="2">
        <v>1</v>
      </c>
      <c r="V825" s="2">
        <v>65</v>
      </c>
      <c r="W825" s="3">
        <f>V825/S825</f>
        <v>4.6428571428571432</v>
      </c>
      <c r="X825" s="3">
        <f>V825/U825</f>
        <v>65</v>
      </c>
      <c r="Y825" s="4">
        <f>S825*6/U825</f>
        <v>84</v>
      </c>
      <c r="Z825" s="2">
        <v>1</v>
      </c>
      <c r="AA825" s="2">
        <v>0</v>
      </c>
      <c r="AB825" s="2">
        <v>0</v>
      </c>
      <c r="AC825" s="2">
        <v>1</v>
      </c>
    </row>
    <row r="826" spans="1:29" x14ac:dyDescent="0.35">
      <c r="A826" s="11" t="s">
        <v>1154</v>
      </c>
      <c r="B826" s="11" t="s">
        <v>270</v>
      </c>
      <c r="C826">
        <f>D826+E826+F826+G826+H826+I826</f>
        <v>6</v>
      </c>
      <c r="D826" s="2">
        <v>0</v>
      </c>
      <c r="E826" s="2">
        <v>0</v>
      </c>
      <c r="F826" s="2">
        <v>0</v>
      </c>
      <c r="G826" s="2">
        <v>6</v>
      </c>
      <c r="H826" s="2">
        <v>0</v>
      </c>
      <c r="I826" s="2">
        <v>0</v>
      </c>
      <c r="J826" s="2">
        <v>5</v>
      </c>
      <c r="K826">
        <f>J826+L826</f>
        <v>6</v>
      </c>
      <c r="L826" s="2">
        <v>1</v>
      </c>
      <c r="M826" s="2">
        <v>0</v>
      </c>
      <c r="N826" s="2">
        <v>103</v>
      </c>
      <c r="O826" s="3">
        <f>N826/J826</f>
        <v>20.6</v>
      </c>
      <c r="P826" s="2">
        <v>0</v>
      </c>
      <c r="Q826" s="2">
        <v>0</v>
      </c>
      <c r="R826" s="2">
        <v>33</v>
      </c>
      <c r="S826" s="11">
        <v>24.2</v>
      </c>
      <c r="T826" s="11">
        <v>0</v>
      </c>
      <c r="U826" s="11">
        <v>9</v>
      </c>
      <c r="V826" s="11">
        <v>144</v>
      </c>
      <c r="W826" s="3">
        <f>144/24.2</f>
        <v>5.9504132231404965</v>
      </c>
      <c r="X826" s="3">
        <v>16</v>
      </c>
      <c r="Y826" s="4">
        <f>S826*6/9</f>
        <v>16.133333333333333</v>
      </c>
      <c r="Z826" s="11" t="s">
        <v>1155</v>
      </c>
      <c r="AA826" s="11">
        <v>1</v>
      </c>
      <c r="AB826" s="2">
        <v>0</v>
      </c>
      <c r="AC826" s="2">
        <v>0</v>
      </c>
    </row>
    <row r="827" spans="1:29" x14ac:dyDescent="0.35">
      <c r="A827" s="34" t="s">
        <v>864</v>
      </c>
      <c r="B827" s="34" t="s">
        <v>541</v>
      </c>
      <c r="C827">
        <f>D827+E827+F827+G827+H827+I827</f>
        <v>2</v>
      </c>
      <c r="D827" s="5">
        <v>0</v>
      </c>
      <c r="E827" s="5">
        <v>0</v>
      </c>
      <c r="F827" s="5">
        <v>0</v>
      </c>
      <c r="G827" s="5">
        <v>2</v>
      </c>
      <c r="H827" s="5">
        <v>0</v>
      </c>
      <c r="I827" s="5">
        <v>0</v>
      </c>
      <c r="J827" s="5">
        <v>1</v>
      </c>
      <c r="K827">
        <f>J827+L827</f>
        <v>2</v>
      </c>
      <c r="L827" s="5">
        <v>1</v>
      </c>
      <c r="M827" s="5">
        <v>1</v>
      </c>
      <c r="N827" s="5">
        <v>9</v>
      </c>
      <c r="O827" s="3">
        <f>N827/J827</f>
        <v>9</v>
      </c>
      <c r="P827" s="5">
        <v>0</v>
      </c>
      <c r="Q827" s="5">
        <v>0</v>
      </c>
      <c r="R827" s="5">
        <v>9</v>
      </c>
      <c r="S827" s="40">
        <v>29</v>
      </c>
      <c r="T827" s="40">
        <v>2</v>
      </c>
      <c r="U827" s="40">
        <v>5</v>
      </c>
      <c r="V827" s="40">
        <v>89</v>
      </c>
      <c r="W827" s="3">
        <f>V827/S827</f>
        <v>3.0689655172413794</v>
      </c>
      <c r="X827" s="3">
        <f>V827/U827</f>
        <v>17.8</v>
      </c>
      <c r="Y827" s="4">
        <f>S827*6/U827</f>
        <v>34.799999999999997</v>
      </c>
      <c r="Z827" s="40">
        <v>3</v>
      </c>
      <c r="AA827" s="40">
        <v>0</v>
      </c>
      <c r="AB827" s="5">
        <v>0</v>
      </c>
      <c r="AC827" s="5">
        <v>0</v>
      </c>
    </row>
    <row r="828" spans="1:29" x14ac:dyDescent="0.35">
      <c r="A828" s="1" t="s">
        <v>865</v>
      </c>
      <c r="B828" s="1" t="s">
        <v>176</v>
      </c>
      <c r="C828">
        <f>D828+E828+F828+G828+H828+I828</f>
        <v>3</v>
      </c>
      <c r="D828" s="2">
        <v>0</v>
      </c>
      <c r="E828" s="2">
        <v>0</v>
      </c>
      <c r="F828" s="2">
        <v>1</v>
      </c>
      <c r="G828" s="2">
        <v>0</v>
      </c>
      <c r="H828" s="2">
        <v>0</v>
      </c>
      <c r="I828" s="2">
        <v>2</v>
      </c>
      <c r="J828" s="2">
        <v>1</v>
      </c>
      <c r="K828">
        <f>J828+L828</f>
        <v>2</v>
      </c>
      <c r="L828" s="2">
        <v>1</v>
      </c>
      <c r="M828" s="2">
        <v>1</v>
      </c>
      <c r="N828" s="2">
        <v>27</v>
      </c>
      <c r="O828" s="3">
        <f>N828/J828</f>
        <v>27</v>
      </c>
      <c r="P828" s="2">
        <v>0</v>
      </c>
      <c r="Q828" s="2">
        <v>0</v>
      </c>
      <c r="R828" s="2">
        <v>26</v>
      </c>
      <c r="S828" s="2">
        <v>0</v>
      </c>
      <c r="T828" s="2">
        <v>0</v>
      </c>
      <c r="U828" s="2">
        <v>0</v>
      </c>
      <c r="V828" s="2">
        <v>0</v>
      </c>
      <c r="W828" s="3" t="e">
        <f>V828/S828</f>
        <v>#DIV/0!</v>
      </c>
      <c r="X828" s="3" t="e">
        <f>V828/U828</f>
        <v>#DIV/0!</v>
      </c>
      <c r="Y828" s="4" t="e">
        <f>S828*6/U828</f>
        <v>#DIV/0!</v>
      </c>
      <c r="Z828" s="2">
        <v>0</v>
      </c>
      <c r="AA828" s="2">
        <v>0</v>
      </c>
      <c r="AB828" s="2">
        <v>0</v>
      </c>
      <c r="AC828" s="2">
        <v>0</v>
      </c>
    </row>
    <row r="829" spans="1:29" x14ac:dyDescent="0.35">
      <c r="A829" s="1" t="s">
        <v>866</v>
      </c>
      <c r="B829" s="1" t="s">
        <v>77</v>
      </c>
      <c r="C829">
        <f>D829+E829+F829+G829+H829+I829</f>
        <v>10</v>
      </c>
      <c r="D829" s="2">
        <v>0</v>
      </c>
      <c r="E829" s="2">
        <v>1</v>
      </c>
      <c r="F829" s="2">
        <v>8</v>
      </c>
      <c r="G829" s="2">
        <v>1</v>
      </c>
      <c r="H829" s="2">
        <v>0</v>
      </c>
      <c r="I829" s="2">
        <v>0</v>
      </c>
      <c r="J829" s="2">
        <v>10</v>
      </c>
      <c r="K829">
        <f>J829+L829</f>
        <v>10</v>
      </c>
      <c r="L829" s="2">
        <v>0</v>
      </c>
      <c r="M829" s="2">
        <v>0</v>
      </c>
      <c r="N829" s="2">
        <v>242</v>
      </c>
      <c r="O829" s="3">
        <f>N829/J829</f>
        <v>24.2</v>
      </c>
      <c r="P829" s="2">
        <v>1</v>
      </c>
      <c r="Q829" s="2">
        <v>0</v>
      </c>
      <c r="R829" s="2">
        <v>81</v>
      </c>
      <c r="S829" s="2">
        <v>8</v>
      </c>
      <c r="T829" s="2">
        <v>2</v>
      </c>
      <c r="U829" s="2">
        <v>2</v>
      </c>
      <c r="V829" s="2">
        <v>21</v>
      </c>
      <c r="W829" s="3">
        <f>V829/S829</f>
        <v>2.625</v>
      </c>
      <c r="X829" s="3">
        <f>V829/U829</f>
        <v>10.5</v>
      </c>
      <c r="Y829" s="4">
        <f>S829*6/U829</f>
        <v>24</v>
      </c>
      <c r="Z829" s="2">
        <v>1</v>
      </c>
      <c r="AA829" s="2">
        <v>0</v>
      </c>
      <c r="AB829" s="2">
        <v>0</v>
      </c>
      <c r="AC829" s="2">
        <v>3</v>
      </c>
    </row>
    <row r="830" spans="1:29" x14ac:dyDescent="0.35">
      <c r="A830" s="1" t="s">
        <v>867</v>
      </c>
      <c r="B830" s="1" t="s">
        <v>868</v>
      </c>
      <c r="C830">
        <f>D830+E830+F830+G830+H830+I830</f>
        <v>8</v>
      </c>
      <c r="D830" s="2">
        <v>0</v>
      </c>
      <c r="E830" s="2">
        <v>0</v>
      </c>
      <c r="F830" s="2">
        <v>0</v>
      </c>
      <c r="G830" s="2">
        <v>1</v>
      </c>
      <c r="H830" s="2">
        <v>0</v>
      </c>
      <c r="I830" s="2">
        <v>7</v>
      </c>
      <c r="J830" s="2">
        <v>7</v>
      </c>
      <c r="K830">
        <f>J830+L830</f>
        <v>7</v>
      </c>
      <c r="L830" s="2">
        <v>0</v>
      </c>
      <c r="M830" s="2">
        <v>2</v>
      </c>
      <c r="N830" s="2">
        <v>51</v>
      </c>
      <c r="O830" s="3">
        <f>N830/J830</f>
        <v>7.2857142857142856</v>
      </c>
      <c r="P830" s="2">
        <v>0</v>
      </c>
      <c r="Q830" s="2">
        <v>0</v>
      </c>
      <c r="R830" s="2">
        <v>27</v>
      </c>
      <c r="S830" s="2">
        <v>47</v>
      </c>
      <c r="T830" s="2">
        <v>6</v>
      </c>
      <c r="U830" s="2">
        <v>10</v>
      </c>
      <c r="V830" s="2">
        <v>177</v>
      </c>
      <c r="W830" s="3">
        <f>V830/S830</f>
        <v>3.7659574468085109</v>
      </c>
      <c r="X830" s="3">
        <f>V830/U830</f>
        <v>17.7</v>
      </c>
      <c r="Y830" s="4">
        <f>S830*6/U830</f>
        <v>28.2</v>
      </c>
      <c r="Z830" s="2">
        <v>5</v>
      </c>
      <c r="AA830" s="2">
        <v>1</v>
      </c>
      <c r="AB830" s="2">
        <v>0</v>
      </c>
      <c r="AC830" s="2">
        <v>4</v>
      </c>
    </row>
    <row r="831" spans="1:29" x14ac:dyDescent="0.35">
      <c r="A831" s="35" t="s">
        <v>1386</v>
      </c>
      <c r="B831" s="1" t="s">
        <v>869</v>
      </c>
      <c r="C831">
        <f>D831+E831+F831+G831+H831+I831</f>
        <v>16</v>
      </c>
      <c r="D831" s="2">
        <v>0</v>
      </c>
      <c r="E831" s="2">
        <v>0</v>
      </c>
      <c r="F831" s="2">
        <v>4</v>
      </c>
      <c r="G831" s="2">
        <v>11</v>
      </c>
      <c r="H831" s="2">
        <v>1</v>
      </c>
      <c r="I831" s="2">
        <v>0</v>
      </c>
      <c r="J831" s="2">
        <v>14</v>
      </c>
      <c r="K831">
        <f>J831+L831</f>
        <v>15</v>
      </c>
      <c r="L831" s="2">
        <v>1</v>
      </c>
      <c r="M831" s="2">
        <v>1</v>
      </c>
      <c r="N831" s="2">
        <f>161+108</f>
        <v>269</v>
      </c>
      <c r="O831" s="3">
        <f>N831/J831</f>
        <v>19.214285714285715</v>
      </c>
      <c r="P831" s="2">
        <v>2</v>
      </c>
      <c r="Q831" s="2">
        <v>0</v>
      </c>
      <c r="R831" s="2">
        <v>64</v>
      </c>
      <c r="S831" s="2">
        <f>16+51</f>
        <v>67</v>
      </c>
      <c r="T831" s="2">
        <v>8</v>
      </c>
      <c r="U831" s="2">
        <v>16</v>
      </c>
      <c r="V831" s="2">
        <f>61+178</f>
        <v>239</v>
      </c>
      <c r="W831" s="3">
        <f>V831/S831</f>
        <v>3.5671641791044775</v>
      </c>
      <c r="X831" s="3">
        <f>V831/U831</f>
        <v>14.9375</v>
      </c>
      <c r="Y831" s="4">
        <f>S831*6/U831</f>
        <v>25.125</v>
      </c>
      <c r="Z831" s="2" t="s">
        <v>1182</v>
      </c>
      <c r="AA831" s="2">
        <v>0</v>
      </c>
      <c r="AB831" s="2">
        <v>0</v>
      </c>
      <c r="AC831" s="2">
        <v>5</v>
      </c>
    </row>
    <row r="832" spans="1:29" x14ac:dyDescent="0.35">
      <c r="A832" s="1" t="s">
        <v>870</v>
      </c>
      <c r="B832" s="1" t="s">
        <v>871</v>
      </c>
      <c r="C832">
        <f>D832+E832+F832+G832+H832+I832</f>
        <v>3</v>
      </c>
      <c r="D832" s="2">
        <v>0</v>
      </c>
      <c r="E832" s="2">
        <v>0</v>
      </c>
      <c r="F832" s="2">
        <v>2</v>
      </c>
      <c r="G832" s="2">
        <v>0</v>
      </c>
      <c r="H832" s="2">
        <v>0</v>
      </c>
      <c r="I832" s="2">
        <v>1</v>
      </c>
      <c r="J832" s="2">
        <v>3</v>
      </c>
      <c r="K832">
        <f>J832+L832</f>
        <v>3</v>
      </c>
      <c r="L832" s="2">
        <v>0</v>
      </c>
      <c r="M832" s="2">
        <v>1</v>
      </c>
      <c r="N832" s="2">
        <v>10</v>
      </c>
      <c r="O832" s="3">
        <f>N832/J832</f>
        <v>3.3333333333333335</v>
      </c>
      <c r="P832" s="2">
        <v>0</v>
      </c>
      <c r="Q832" s="2">
        <v>0</v>
      </c>
      <c r="R832" s="2">
        <v>10</v>
      </c>
      <c r="S832" s="2">
        <v>0</v>
      </c>
      <c r="T832" s="2">
        <v>0</v>
      </c>
      <c r="U832" s="2">
        <v>0</v>
      </c>
      <c r="V832" s="2">
        <v>0</v>
      </c>
      <c r="W832" s="3" t="e">
        <f>V832/S832</f>
        <v>#DIV/0!</v>
      </c>
      <c r="X832" s="3" t="e">
        <f>V832/U832</f>
        <v>#DIV/0!</v>
      </c>
      <c r="Y832" s="4" t="e">
        <f>S832*6/U832</f>
        <v>#DIV/0!</v>
      </c>
      <c r="Z832" s="2">
        <v>0</v>
      </c>
      <c r="AA832" s="2">
        <v>0</v>
      </c>
      <c r="AB832" s="2">
        <v>0</v>
      </c>
      <c r="AC832" s="2">
        <v>1</v>
      </c>
    </row>
    <row r="833" spans="1:29" x14ac:dyDescent="0.35">
      <c r="A833" s="1" t="s">
        <v>663</v>
      </c>
      <c r="B833" s="1" t="s">
        <v>20</v>
      </c>
      <c r="C833">
        <f>D833+E833+F833+G833+H833+I833</f>
        <v>6</v>
      </c>
      <c r="D833" s="2">
        <v>3</v>
      </c>
      <c r="E833" s="2">
        <v>3</v>
      </c>
      <c r="F833" s="2">
        <v>0</v>
      </c>
      <c r="G833" s="2">
        <v>0</v>
      </c>
      <c r="H833" s="2">
        <v>0</v>
      </c>
      <c r="I833" s="2">
        <v>0</v>
      </c>
      <c r="J833" s="2">
        <v>5</v>
      </c>
      <c r="K833">
        <f>J833+L833</f>
        <v>5</v>
      </c>
      <c r="L833" s="2">
        <v>0</v>
      </c>
      <c r="M833" s="2">
        <v>1</v>
      </c>
      <c r="N833" s="2">
        <v>70</v>
      </c>
      <c r="O833" s="3">
        <f>N833/J833</f>
        <v>14</v>
      </c>
      <c r="P833" s="2">
        <v>0</v>
      </c>
      <c r="Q833" s="2">
        <v>0</v>
      </c>
      <c r="R833" s="2">
        <v>24</v>
      </c>
      <c r="S833" s="2">
        <v>0</v>
      </c>
      <c r="T833" s="2">
        <v>0</v>
      </c>
      <c r="U833" s="2">
        <v>0</v>
      </c>
      <c r="V833" s="2">
        <v>0</v>
      </c>
      <c r="W833" s="3" t="e">
        <f>V833/S833</f>
        <v>#DIV/0!</v>
      </c>
      <c r="X833" s="3" t="e">
        <f>V833/U833</f>
        <v>#DIV/0!</v>
      </c>
      <c r="Y833" s="4" t="e">
        <f>S833*6/U833</f>
        <v>#DIV/0!</v>
      </c>
      <c r="Z833" s="2">
        <v>0</v>
      </c>
      <c r="AA833" s="2">
        <v>0</v>
      </c>
      <c r="AB833" s="2">
        <v>0</v>
      </c>
      <c r="AC833" s="2">
        <v>2</v>
      </c>
    </row>
    <row r="834" spans="1:29" x14ac:dyDescent="0.35">
      <c r="A834" s="1" t="s">
        <v>663</v>
      </c>
      <c r="B834" s="1" t="s">
        <v>30</v>
      </c>
      <c r="C834">
        <f>D834+E834+F834+G834+H834+I834</f>
        <v>8</v>
      </c>
      <c r="D834" s="2">
        <v>7</v>
      </c>
      <c r="E834" s="2">
        <v>1</v>
      </c>
      <c r="F834" s="2">
        <v>0</v>
      </c>
      <c r="G834" s="2">
        <v>0</v>
      </c>
      <c r="H834" s="2">
        <v>0</v>
      </c>
      <c r="I834" s="2">
        <v>0</v>
      </c>
      <c r="J834" s="2">
        <v>5</v>
      </c>
      <c r="K834">
        <f>J834+L834</f>
        <v>7</v>
      </c>
      <c r="L834" s="2">
        <v>2</v>
      </c>
      <c r="M834" s="2">
        <v>1</v>
      </c>
      <c r="N834" s="2">
        <v>258</v>
      </c>
      <c r="O834" s="3">
        <f>N834/J834</f>
        <v>51.6</v>
      </c>
      <c r="P834" s="2">
        <v>1</v>
      </c>
      <c r="Q834" s="2">
        <v>1</v>
      </c>
      <c r="R834" s="2">
        <v>144</v>
      </c>
      <c r="S834" s="2">
        <v>1</v>
      </c>
      <c r="T834" s="2">
        <v>0</v>
      </c>
      <c r="U834" s="2">
        <v>0</v>
      </c>
      <c r="V834" s="2">
        <v>7</v>
      </c>
      <c r="W834" s="3">
        <f>V834/S834</f>
        <v>7</v>
      </c>
      <c r="X834" s="3" t="e">
        <f>V834/U834</f>
        <v>#DIV/0!</v>
      </c>
      <c r="Y834" s="4" t="e">
        <f>S834*6/U834</f>
        <v>#DIV/0!</v>
      </c>
      <c r="Z834" s="2">
        <v>0</v>
      </c>
      <c r="AA834" s="2">
        <v>0</v>
      </c>
      <c r="AB834" s="2">
        <v>0</v>
      </c>
      <c r="AC834" s="2">
        <v>1</v>
      </c>
    </row>
    <row r="835" spans="1:29" x14ac:dyDescent="0.35">
      <c r="A835" s="1" t="s">
        <v>872</v>
      </c>
      <c r="B835" s="1" t="s">
        <v>873</v>
      </c>
      <c r="C835">
        <f>D835+E835+F835+G835+H835+I835</f>
        <v>1</v>
      </c>
      <c r="D835" s="2">
        <v>0</v>
      </c>
      <c r="E835" s="2">
        <v>1</v>
      </c>
      <c r="F835" s="2">
        <v>0</v>
      </c>
      <c r="G835" s="2">
        <v>0</v>
      </c>
      <c r="H835" s="2">
        <v>0</v>
      </c>
      <c r="I835" s="2">
        <v>0</v>
      </c>
      <c r="J835" s="2">
        <v>1</v>
      </c>
      <c r="K835">
        <f>J835+L835</f>
        <v>1</v>
      </c>
      <c r="L835" s="2">
        <v>0</v>
      </c>
      <c r="M835" s="2">
        <v>0</v>
      </c>
      <c r="N835" s="2">
        <v>21</v>
      </c>
      <c r="O835" s="3">
        <f>N835/J835</f>
        <v>21</v>
      </c>
      <c r="P835" s="2">
        <v>0</v>
      </c>
      <c r="Q835" s="2">
        <v>0</v>
      </c>
      <c r="R835" s="2">
        <v>21</v>
      </c>
      <c r="S835" s="2">
        <v>0</v>
      </c>
      <c r="T835" s="2">
        <v>0</v>
      </c>
      <c r="U835" s="2">
        <v>0</v>
      </c>
      <c r="V835" s="2">
        <v>0</v>
      </c>
      <c r="W835" s="3" t="e">
        <f>V835/S835</f>
        <v>#DIV/0!</v>
      </c>
      <c r="X835" s="3" t="e">
        <f>V835/U835</f>
        <v>#DIV/0!</v>
      </c>
      <c r="Y835" s="4" t="e">
        <f>S835*6/U835</f>
        <v>#DIV/0!</v>
      </c>
      <c r="Z835" s="2">
        <v>0</v>
      </c>
      <c r="AA835" s="2">
        <v>0</v>
      </c>
      <c r="AB835" s="2">
        <v>0</v>
      </c>
      <c r="AC835" s="2">
        <v>0</v>
      </c>
    </row>
    <row r="836" spans="1:29" x14ac:dyDescent="0.35">
      <c r="A836" s="1" t="s">
        <v>874</v>
      </c>
      <c r="B836" s="1" t="s">
        <v>420</v>
      </c>
      <c r="C836">
        <f>D836+E836+F836+G836+H836+I836</f>
        <v>7</v>
      </c>
      <c r="D836" s="2">
        <v>0</v>
      </c>
      <c r="E836" s="2">
        <v>0</v>
      </c>
      <c r="F836" s="2">
        <v>7</v>
      </c>
      <c r="G836" s="2">
        <v>0</v>
      </c>
      <c r="H836" s="2">
        <v>0</v>
      </c>
      <c r="I836" s="2">
        <v>0</v>
      </c>
      <c r="J836" s="2">
        <v>11</v>
      </c>
      <c r="K836">
        <f>J836+L836</f>
        <v>12</v>
      </c>
      <c r="L836" s="2">
        <v>1</v>
      </c>
      <c r="M836" s="2">
        <v>0</v>
      </c>
      <c r="N836" s="2">
        <v>121</v>
      </c>
      <c r="O836" s="3">
        <f>N836/J836</f>
        <v>11</v>
      </c>
      <c r="P836" s="2">
        <v>0</v>
      </c>
      <c r="Q836" s="2">
        <v>0</v>
      </c>
      <c r="R836" s="2">
        <v>23</v>
      </c>
      <c r="S836" s="2">
        <v>51</v>
      </c>
      <c r="T836" s="2">
        <v>2</v>
      </c>
      <c r="U836" s="2">
        <v>7</v>
      </c>
      <c r="V836" s="2">
        <v>269</v>
      </c>
      <c r="W836" s="3">
        <f>V836/S836</f>
        <v>5.2745098039215685</v>
      </c>
      <c r="X836" s="3">
        <f>V836/U836</f>
        <v>38.428571428571431</v>
      </c>
      <c r="Y836" s="4">
        <f>S836*6/U836</f>
        <v>43.714285714285715</v>
      </c>
      <c r="Z836" s="2">
        <v>4</v>
      </c>
      <c r="AA836" s="2">
        <v>0</v>
      </c>
      <c r="AB836" s="2">
        <v>0</v>
      </c>
      <c r="AC836" s="2">
        <v>0</v>
      </c>
    </row>
    <row r="837" spans="1:29" x14ac:dyDescent="0.35">
      <c r="A837" s="15" t="s">
        <v>875</v>
      </c>
      <c r="B837" s="15" t="s">
        <v>726</v>
      </c>
      <c r="C837" s="18">
        <f>D837+E837+F837+G837+H837+I837</f>
        <v>90</v>
      </c>
      <c r="D837" s="16">
        <v>0</v>
      </c>
      <c r="E837" s="16">
        <v>15</v>
      </c>
      <c r="F837" s="16">
        <v>40</v>
      </c>
      <c r="G837" s="16">
        <v>10</v>
      </c>
      <c r="H837" s="16">
        <v>15</v>
      </c>
      <c r="I837" s="16">
        <v>10</v>
      </c>
      <c r="J837" s="16">
        <f>53+8</f>
        <v>61</v>
      </c>
      <c r="K837" s="18">
        <f>J837+L837</f>
        <v>69</v>
      </c>
      <c r="L837" s="16">
        <v>8</v>
      </c>
      <c r="M837" s="16">
        <v>24</v>
      </c>
      <c r="N837" s="16">
        <f>530+149</f>
        <v>679</v>
      </c>
      <c r="O837" s="19">
        <f>N837/J837</f>
        <v>11.131147540983607</v>
      </c>
      <c r="P837" s="16">
        <v>2</v>
      </c>
      <c r="Q837" s="16">
        <v>0</v>
      </c>
      <c r="R837" s="16">
        <v>53</v>
      </c>
      <c r="S837" s="16">
        <f>208.2+98</f>
        <v>306.2</v>
      </c>
      <c r="T837" s="16">
        <f>19+12</f>
        <v>31</v>
      </c>
      <c r="U837" s="16">
        <v>60</v>
      </c>
      <c r="V837" s="16">
        <f>904+402</f>
        <v>1306</v>
      </c>
      <c r="W837" s="19">
        <f>V837/S837</f>
        <v>4.26518615284128</v>
      </c>
      <c r="X837" s="19">
        <f>V837/U837</f>
        <v>21.766666666666666</v>
      </c>
      <c r="Y837" s="20">
        <f>S837*6/U837</f>
        <v>30.619999999999997</v>
      </c>
      <c r="Z837" s="16" t="s">
        <v>1371</v>
      </c>
      <c r="AA837" s="16">
        <v>1</v>
      </c>
      <c r="AB837" s="16">
        <v>0</v>
      </c>
      <c r="AC837" s="16">
        <v>21</v>
      </c>
    </row>
    <row r="838" spans="1:29" x14ac:dyDescent="0.35">
      <c r="A838" s="1" t="s">
        <v>876</v>
      </c>
      <c r="B838" s="1" t="s">
        <v>176</v>
      </c>
      <c r="C838">
        <f>D838+E838+F838+G838+H838+I838</f>
        <v>2</v>
      </c>
      <c r="D838" s="2">
        <v>0</v>
      </c>
      <c r="E838" s="2">
        <v>0</v>
      </c>
      <c r="F838" s="2">
        <v>0</v>
      </c>
      <c r="G838" s="2">
        <v>1</v>
      </c>
      <c r="H838" s="2">
        <v>1</v>
      </c>
      <c r="I838" s="2">
        <v>0</v>
      </c>
      <c r="J838" s="2">
        <v>2</v>
      </c>
      <c r="K838">
        <f>J838+L838</f>
        <v>2</v>
      </c>
      <c r="L838" s="2">
        <v>0</v>
      </c>
      <c r="M838" s="2">
        <v>0</v>
      </c>
      <c r="N838" s="2">
        <v>41</v>
      </c>
      <c r="O838" s="3">
        <f>N838/J838</f>
        <v>20.5</v>
      </c>
      <c r="P838" s="2">
        <v>0</v>
      </c>
      <c r="Q838" s="2">
        <v>0</v>
      </c>
      <c r="R838" s="2">
        <v>33</v>
      </c>
      <c r="S838" s="2">
        <v>0</v>
      </c>
      <c r="T838" s="2">
        <v>0</v>
      </c>
      <c r="U838" s="2">
        <v>0</v>
      </c>
      <c r="V838" s="2">
        <v>0</v>
      </c>
      <c r="W838" s="3" t="e">
        <f>V838/S838</f>
        <v>#DIV/0!</v>
      </c>
      <c r="X838" s="3" t="e">
        <f>V838/U838</f>
        <v>#DIV/0!</v>
      </c>
      <c r="Y838" s="4" t="e">
        <f>S838*6/U838</f>
        <v>#DIV/0!</v>
      </c>
      <c r="Z838" s="2">
        <v>0</v>
      </c>
      <c r="AA838" s="2">
        <v>0</v>
      </c>
      <c r="AB838" s="2">
        <v>0</v>
      </c>
      <c r="AC838" s="2">
        <v>1</v>
      </c>
    </row>
    <row r="839" spans="1:29" x14ac:dyDescent="0.35">
      <c r="A839" s="1" t="s">
        <v>877</v>
      </c>
      <c r="B839" s="1" t="s">
        <v>18</v>
      </c>
      <c r="C839">
        <f>D839+E839+F839+G839+H839+I839</f>
        <v>1</v>
      </c>
      <c r="D839" s="2">
        <v>0</v>
      </c>
      <c r="E839" s="2">
        <v>0</v>
      </c>
      <c r="F839" s="2">
        <v>0</v>
      </c>
      <c r="G839" s="2">
        <v>0</v>
      </c>
      <c r="H839" s="2">
        <v>0</v>
      </c>
      <c r="I839" s="2">
        <v>1</v>
      </c>
      <c r="J839" s="2">
        <v>1</v>
      </c>
      <c r="K839">
        <f>J839+L839</f>
        <v>1</v>
      </c>
      <c r="L839" s="2">
        <v>0</v>
      </c>
      <c r="M839" s="2">
        <v>0</v>
      </c>
      <c r="N839" s="2">
        <v>17</v>
      </c>
      <c r="O839" s="3">
        <f>N839/J839</f>
        <v>17</v>
      </c>
      <c r="P839" s="2">
        <v>0</v>
      </c>
      <c r="Q839" s="2">
        <v>0</v>
      </c>
      <c r="R839" s="2">
        <v>17</v>
      </c>
      <c r="S839" s="2">
        <v>15</v>
      </c>
      <c r="T839" s="2">
        <v>4</v>
      </c>
      <c r="U839" s="2">
        <v>4</v>
      </c>
      <c r="V839" s="2">
        <v>35</v>
      </c>
      <c r="W839" s="3">
        <f>V839/S839</f>
        <v>2.3333333333333335</v>
      </c>
      <c r="X839" s="3">
        <f>V839/U839</f>
        <v>8.75</v>
      </c>
      <c r="Y839" s="4">
        <f>S839*6/U839</f>
        <v>22.5</v>
      </c>
      <c r="Z839" s="2">
        <v>4</v>
      </c>
      <c r="AA839" s="2">
        <v>0</v>
      </c>
      <c r="AB839" s="2">
        <v>0</v>
      </c>
      <c r="AC839" s="2">
        <v>0</v>
      </c>
    </row>
    <row r="840" spans="1:29" x14ac:dyDescent="0.35">
      <c r="A840" s="1" t="s">
        <v>878</v>
      </c>
      <c r="B840" s="1" t="s">
        <v>176</v>
      </c>
      <c r="C840">
        <f>D840+E840+F840+G840+H840+I840</f>
        <v>3</v>
      </c>
      <c r="D840" s="2">
        <v>0</v>
      </c>
      <c r="E840" s="2">
        <v>0</v>
      </c>
      <c r="F840" s="2">
        <v>3</v>
      </c>
      <c r="G840" s="2">
        <v>0</v>
      </c>
      <c r="H840" s="2">
        <v>0</v>
      </c>
      <c r="I840" s="2">
        <v>0</v>
      </c>
      <c r="J840" s="2">
        <v>4</v>
      </c>
      <c r="K840">
        <f>J840+L840</f>
        <v>4</v>
      </c>
      <c r="L840" s="2">
        <v>0</v>
      </c>
      <c r="M840" s="2">
        <v>1</v>
      </c>
      <c r="N840" s="2">
        <v>40</v>
      </c>
      <c r="O840" s="3">
        <f>N840/J840</f>
        <v>10</v>
      </c>
      <c r="P840" s="2">
        <v>0</v>
      </c>
      <c r="Q840" s="2">
        <v>0</v>
      </c>
      <c r="R840" s="2">
        <v>29</v>
      </c>
      <c r="S840" s="2">
        <v>0</v>
      </c>
      <c r="T840" s="2">
        <v>0</v>
      </c>
      <c r="U840" s="2">
        <v>0</v>
      </c>
      <c r="V840" s="2">
        <v>0</v>
      </c>
      <c r="W840" s="3" t="e">
        <f>V840/S840</f>
        <v>#DIV/0!</v>
      </c>
      <c r="X840" s="3" t="e">
        <f>V840/U840</f>
        <v>#DIV/0!</v>
      </c>
      <c r="Y840" s="4" t="e">
        <f>S840*6/U840</f>
        <v>#DIV/0!</v>
      </c>
      <c r="Z840" s="2">
        <v>0</v>
      </c>
      <c r="AA840" s="2">
        <v>0</v>
      </c>
      <c r="AB840" s="2">
        <v>0</v>
      </c>
      <c r="AC840" s="2">
        <v>0</v>
      </c>
    </row>
    <row r="841" spans="1:29" x14ac:dyDescent="0.35">
      <c r="A841" s="1" t="s">
        <v>879</v>
      </c>
      <c r="B841" s="1" t="s">
        <v>190</v>
      </c>
      <c r="C841">
        <f>D841+E841+F841+G841+H841+I841</f>
        <v>33</v>
      </c>
      <c r="D841" s="2">
        <v>0</v>
      </c>
      <c r="E841" s="2">
        <v>6</v>
      </c>
      <c r="F841" s="2">
        <v>12</v>
      </c>
      <c r="G841" s="2">
        <v>14</v>
      </c>
      <c r="H841" s="2">
        <v>1</v>
      </c>
      <c r="I841" s="2">
        <v>0</v>
      </c>
      <c r="J841" s="2">
        <v>19</v>
      </c>
      <c r="K841">
        <f>J841+L841</f>
        <v>28</v>
      </c>
      <c r="L841" s="2">
        <v>9</v>
      </c>
      <c r="M841" s="2">
        <v>8</v>
      </c>
      <c r="N841" s="2">
        <v>246</v>
      </c>
      <c r="O841" s="3">
        <f>N841/J841</f>
        <v>12.947368421052632</v>
      </c>
      <c r="P841" s="2">
        <v>0</v>
      </c>
      <c r="Q841" s="2">
        <v>0</v>
      </c>
      <c r="R841" s="2">
        <v>39</v>
      </c>
      <c r="S841" s="2">
        <v>200</v>
      </c>
      <c r="T841" s="2">
        <v>18</v>
      </c>
      <c r="U841" s="2">
        <v>32</v>
      </c>
      <c r="V841" s="2">
        <v>929</v>
      </c>
      <c r="W841" s="3">
        <f>V841/S841</f>
        <v>4.6449999999999996</v>
      </c>
      <c r="X841" s="3">
        <f>V841/U841</f>
        <v>29.03125</v>
      </c>
      <c r="Y841" s="4">
        <f>S841*6/U841</f>
        <v>37.5</v>
      </c>
      <c r="Z841" s="2">
        <v>4</v>
      </c>
      <c r="AA841" s="2">
        <v>0</v>
      </c>
      <c r="AB841" s="2">
        <v>0</v>
      </c>
      <c r="AC841" s="2">
        <v>7</v>
      </c>
    </row>
    <row r="842" spans="1:29" x14ac:dyDescent="0.35">
      <c r="A842" s="1" t="s">
        <v>880</v>
      </c>
      <c r="B842" s="1" t="s">
        <v>77</v>
      </c>
      <c r="C842">
        <f>D842+E842+F842+G842+H842+I842</f>
        <v>16</v>
      </c>
      <c r="D842" s="2">
        <v>0</v>
      </c>
      <c r="E842" s="2">
        <v>0</v>
      </c>
      <c r="F842" s="2">
        <v>0</v>
      </c>
      <c r="G842" s="2">
        <v>1</v>
      </c>
      <c r="H842" s="2">
        <v>7</v>
      </c>
      <c r="I842" s="2">
        <v>8</v>
      </c>
      <c r="J842" s="2">
        <v>14</v>
      </c>
      <c r="K842">
        <f>J842+L842</f>
        <v>15</v>
      </c>
      <c r="L842" s="2">
        <v>1</v>
      </c>
      <c r="M842" s="2">
        <v>3</v>
      </c>
      <c r="N842" s="2">
        <v>185</v>
      </c>
      <c r="O842" s="3">
        <f>N842/J842</f>
        <v>13.214285714285714</v>
      </c>
      <c r="P842" s="2">
        <v>0</v>
      </c>
      <c r="Q842" s="2">
        <v>0</v>
      </c>
      <c r="R842" s="2">
        <v>38</v>
      </c>
      <c r="S842" s="2">
        <v>62</v>
      </c>
      <c r="T842" s="2">
        <v>12</v>
      </c>
      <c r="U842" s="2">
        <v>7</v>
      </c>
      <c r="V842" s="2">
        <v>217</v>
      </c>
      <c r="W842" s="42">
        <f>V842/S842</f>
        <v>3.5</v>
      </c>
      <c r="X842" s="42">
        <f>V842/U842</f>
        <v>31</v>
      </c>
      <c r="Y842" s="4">
        <f>S842*6/U842</f>
        <v>53.142857142857146</v>
      </c>
      <c r="Z842" s="2">
        <v>2</v>
      </c>
      <c r="AA842" s="2">
        <v>0</v>
      </c>
      <c r="AB842" s="2">
        <v>0</v>
      </c>
      <c r="AC842" s="2">
        <v>2</v>
      </c>
    </row>
    <row r="843" spans="1:29" x14ac:dyDescent="0.35">
      <c r="A843" s="1" t="s">
        <v>880</v>
      </c>
      <c r="B843" s="1" t="s">
        <v>198</v>
      </c>
      <c r="C843">
        <f>D843+E843+F843+G843+H843+I843</f>
        <v>8</v>
      </c>
      <c r="D843" s="2">
        <v>0</v>
      </c>
      <c r="E843" s="2">
        <v>0</v>
      </c>
      <c r="F843" s="2">
        <v>2</v>
      </c>
      <c r="G843" s="2">
        <v>5</v>
      </c>
      <c r="H843" s="2">
        <v>1</v>
      </c>
      <c r="I843" s="2">
        <v>0</v>
      </c>
      <c r="J843" s="2">
        <v>7</v>
      </c>
      <c r="K843">
        <f>J843+L843</f>
        <v>8</v>
      </c>
      <c r="L843" s="2">
        <v>1</v>
      </c>
      <c r="M843" s="2">
        <v>1</v>
      </c>
      <c r="N843" s="2">
        <v>121</v>
      </c>
      <c r="O843" s="3">
        <f>N843/J843</f>
        <v>17.285714285714285</v>
      </c>
      <c r="P843" s="2">
        <v>0</v>
      </c>
      <c r="Q843" s="2">
        <v>0</v>
      </c>
      <c r="R843" s="2">
        <v>49</v>
      </c>
      <c r="S843" s="2">
        <v>35</v>
      </c>
      <c r="T843" s="2">
        <v>2</v>
      </c>
      <c r="U843" s="2">
        <v>2</v>
      </c>
      <c r="V843" s="2">
        <v>117</v>
      </c>
      <c r="W843" s="3">
        <f>V843/S843</f>
        <v>3.342857142857143</v>
      </c>
      <c r="X843" s="3">
        <f>V843/U843</f>
        <v>58.5</v>
      </c>
      <c r="Y843" s="4">
        <f>S843*6/U843</f>
        <v>105</v>
      </c>
      <c r="Z843" s="2">
        <v>1</v>
      </c>
      <c r="AA843" s="2">
        <v>0</v>
      </c>
      <c r="AB843" s="2">
        <v>0</v>
      </c>
      <c r="AC843" s="2">
        <v>0</v>
      </c>
    </row>
    <row r="844" spans="1:29" x14ac:dyDescent="0.35">
      <c r="A844" s="1" t="s">
        <v>881</v>
      </c>
      <c r="B844" s="1" t="s">
        <v>882</v>
      </c>
      <c r="C844">
        <f>D844+E844+F844+G844+H844+I844</f>
        <v>14</v>
      </c>
      <c r="D844" s="2">
        <v>0</v>
      </c>
      <c r="E844" s="2">
        <v>0</v>
      </c>
      <c r="F844" s="2">
        <v>0</v>
      </c>
      <c r="G844" s="2">
        <v>5</v>
      </c>
      <c r="H844" s="2">
        <v>0</v>
      </c>
      <c r="I844" s="2">
        <v>9</v>
      </c>
      <c r="J844" s="2">
        <v>8</v>
      </c>
      <c r="K844">
        <f>J844+L844</f>
        <v>11</v>
      </c>
      <c r="L844" s="2">
        <v>3</v>
      </c>
      <c r="M844" s="2">
        <v>3</v>
      </c>
      <c r="N844" s="2">
        <v>174</v>
      </c>
      <c r="O844" s="3">
        <f>N844/J844</f>
        <v>21.75</v>
      </c>
      <c r="P844" s="2">
        <v>1</v>
      </c>
      <c r="Q844" s="2">
        <v>0</v>
      </c>
      <c r="R844" s="2">
        <v>52</v>
      </c>
      <c r="S844" s="2">
        <v>77</v>
      </c>
      <c r="T844" s="2">
        <v>7</v>
      </c>
      <c r="U844" s="2">
        <v>8</v>
      </c>
      <c r="V844" s="2">
        <v>354</v>
      </c>
      <c r="W844" s="3">
        <f>V844/S844</f>
        <v>4.5974025974025974</v>
      </c>
      <c r="X844" s="3">
        <f>V844/U844</f>
        <v>44.25</v>
      </c>
      <c r="Y844" s="4">
        <f>S844*6/U844</f>
        <v>57.75</v>
      </c>
      <c r="Z844" s="2">
        <v>3</v>
      </c>
      <c r="AA844" s="2">
        <v>0</v>
      </c>
      <c r="AB844" s="2">
        <v>0</v>
      </c>
      <c r="AC844" s="2">
        <v>0</v>
      </c>
    </row>
    <row r="845" spans="1:29" x14ac:dyDescent="0.35">
      <c r="A845" s="1" t="s">
        <v>881</v>
      </c>
      <c r="B845" s="1" t="s">
        <v>321</v>
      </c>
      <c r="C845">
        <f>D845+E845+F845+G845+H845+I845</f>
        <v>1</v>
      </c>
      <c r="D845" s="2">
        <v>0</v>
      </c>
      <c r="E845" s="2">
        <v>0</v>
      </c>
      <c r="F845" s="2">
        <v>0</v>
      </c>
      <c r="G845" s="2">
        <v>1</v>
      </c>
      <c r="H845" s="2">
        <v>0</v>
      </c>
      <c r="I845" s="2">
        <v>0</v>
      </c>
      <c r="J845" s="2">
        <v>1</v>
      </c>
      <c r="K845">
        <f>J845+L845</f>
        <v>1</v>
      </c>
      <c r="L845" s="2">
        <v>0</v>
      </c>
      <c r="M845" s="2">
        <v>0</v>
      </c>
      <c r="N845" s="2">
        <v>6</v>
      </c>
      <c r="O845" s="3">
        <f>N845/J845</f>
        <v>6</v>
      </c>
      <c r="P845" s="2">
        <v>0</v>
      </c>
      <c r="Q845" s="2">
        <v>0</v>
      </c>
      <c r="R845" s="2">
        <v>6</v>
      </c>
      <c r="S845" s="2">
        <v>4</v>
      </c>
      <c r="T845" s="2">
        <v>0</v>
      </c>
      <c r="U845" s="2">
        <v>2</v>
      </c>
      <c r="V845" s="2">
        <v>23</v>
      </c>
      <c r="W845" s="3">
        <f>V845/S845</f>
        <v>5.75</v>
      </c>
      <c r="X845" s="3">
        <f>V845/U845</f>
        <v>11.5</v>
      </c>
      <c r="Y845" s="4">
        <f>S845*6/U845</f>
        <v>12</v>
      </c>
      <c r="Z845" s="2">
        <v>2</v>
      </c>
      <c r="AA845" s="2">
        <v>0</v>
      </c>
      <c r="AB845" s="2">
        <v>0</v>
      </c>
      <c r="AC845" s="2">
        <v>0</v>
      </c>
    </row>
    <row r="846" spans="1:29" x14ac:dyDescent="0.35">
      <c r="A846" s="1" t="s">
        <v>883</v>
      </c>
      <c r="B846" s="1" t="s">
        <v>134</v>
      </c>
      <c r="C846">
        <f>D846+E846+F846+G846+H846+I846</f>
        <v>32</v>
      </c>
      <c r="D846" s="2">
        <v>0</v>
      </c>
      <c r="E846" s="2">
        <v>4</v>
      </c>
      <c r="F846" s="2">
        <v>6</v>
      </c>
      <c r="G846" s="2">
        <v>4</v>
      </c>
      <c r="H846" s="2">
        <v>18</v>
      </c>
      <c r="I846" s="2">
        <v>0</v>
      </c>
      <c r="J846" s="2">
        <v>24</v>
      </c>
      <c r="K846">
        <f>J846+L846</f>
        <v>28</v>
      </c>
      <c r="L846" s="2">
        <v>4</v>
      </c>
      <c r="M846" s="2">
        <v>9</v>
      </c>
      <c r="N846" s="2">
        <v>381</v>
      </c>
      <c r="O846" s="3">
        <f>N846/J846</f>
        <v>15.875</v>
      </c>
      <c r="P846" s="2">
        <v>0</v>
      </c>
      <c r="Q846" s="2">
        <v>0</v>
      </c>
      <c r="R846" s="2">
        <v>49</v>
      </c>
      <c r="S846" s="2">
        <v>298</v>
      </c>
      <c r="T846" s="2">
        <v>50</v>
      </c>
      <c r="U846" s="2">
        <v>46</v>
      </c>
      <c r="V846" s="2">
        <v>997</v>
      </c>
      <c r="W846" s="3">
        <f>V846/S846</f>
        <v>3.3456375838926173</v>
      </c>
      <c r="X846" s="3">
        <f>V846/U846</f>
        <v>21.673913043478262</v>
      </c>
      <c r="Y846" s="4">
        <f>S846*6/U846</f>
        <v>38.869565217391305</v>
      </c>
      <c r="Z846" s="2">
        <v>5</v>
      </c>
      <c r="AA846" s="2">
        <v>1</v>
      </c>
      <c r="AB846" s="2">
        <v>0</v>
      </c>
      <c r="AC846" s="2">
        <v>3</v>
      </c>
    </row>
    <row r="847" spans="1:29" x14ac:dyDescent="0.35">
      <c r="A847" s="1" t="s">
        <v>884</v>
      </c>
      <c r="B847" s="1" t="s">
        <v>803</v>
      </c>
      <c r="C847">
        <f>D847+E847+F847+G847+H847+I847</f>
        <v>1</v>
      </c>
      <c r="D847" s="2">
        <v>0</v>
      </c>
      <c r="E847" s="2">
        <v>0</v>
      </c>
      <c r="F847" s="2">
        <v>0</v>
      </c>
      <c r="G847" s="2">
        <v>1</v>
      </c>
      <c r="H847" s="2">
        <v>0</v>
      </c>
      <c r="I847" s="2">
        <v>0</v>
      </c>
      <c r="J847" s="2">
        <v>1</v>
      </c>
      <c r="K847">
        <f>J847+L847</f>
        <v>1</v>
      </c>
      <c r="L847" s="2">
        <v>0</v>
      </c>
      <c r="M847" s="2">
        <v>0</v>
      </c>
      <c r="N847" s="2">
        <v>17</v>
      </c>
      <c r="O847" s="3">
        <f>N847/J847</f>
        <v>17</v>
      </c>
      <c r="P847" s="2">
        <v>0</v>
      </c>
      <c r="Q847" s="2">
        <v>0</v>
      </c>
      <c r="R847" s="2">
        <v>17</v>
      </c>
      <c r="S847" s="2">
        <v>0</v>
      </c>
      <c r="T847" s="2">
        <v>0</v>
      </c>
      <c r="U847" s="2">
        <v>0</v>
      </c>
      <c r="V847" s="2">
        <v>0</v>
      </c>
      <c r="W847" s="3" t="e">
        <f>V847/S847</f>
        <v>#DIV/0!</v>
      </c>
      <c r="X847" s="3" t="e">
        <f>V847/U847</f>
        <v>#DIV/0!</v>
      </c>
      <c r="Y847" s="4" t="e">
        <f>S847*6/U847</f>
        <v>#DIV/0!</v>
      </c>
      <c r="Z847" s="2">
        <v>0</v>
      </c>
      <c r="AA847" s="2">
        <v>0</v>
      </c>
      <c r="AB847" s="2">
        <v>0</v>
      </c>
      <c r="AC847" s="2">
        <v>0</v>
      </c>
    </row>
    <row r="848" spans="1:29" x14ac:dyDescent="0.35">
      <c r="A848" s="1" t="s">
        <v>885</v>
      </c>
      <c r="B848" s="1" t="s">
        <v>886</v>
      </c>
      <c r="C848">
        <f>D848+E848+F848+G848+H848+I848</f>
        <v>5</v>
      </c>
      <c r="D848" s="2">
        <v>0</v>
      </c>
      <c r="E848" s="2">
        <v>0</v>
      </c>
      <c r="F848" s="2">
        <v>0</v>
      </c>
      <c r="G848" s="2">
        <v>0</v>
      </c>
      <c r="H848" s="2">
        <v>5</v>
      </c>
      <c r="I848" s="2">
        <v>0</v>
      </c>
      <c r="J848" s="2">
        <v>2</v>
      </c>
      <c r="K848">
        <f>J848+L848</f>
        <v>3</v>
      </c>
      <c r="L848" s="2">
        <v>1</v>
      </c>
      <c r="M848" s="2">
        <v>2</v>
      </c>
      <c r="N848" s="2">
        <v>16</v>
      </c>
      <c r="O848" s="3">
        <f>N848/J848</f>
        <v>8</v>
      </c>
      <c r="P848" s="2">
        <v>0</v>
      </c>
      <c r="Q848" s="2">
        <v>0</v>
      </c>
      <c r="R848" s="2">
        <v>12</v>
      </c>
      <c r="S848" s="2">
        <v>0</v>
      </c>
      <c r="T848" s="2">
        <v>0</v>
      </c>
      <c r="U848" s="2">
        <v>0</v>
      </c>
      <c r="V848" s="2">
        <v>0</v>
      </c>
      <c r="W848" s="3" t="e">
        <f>V848/S848</f>
        <v>#DIV/0!</v>
      </c>
      <c r="X848" s="3" t="e">
        <f>V848/U848</f>
        <v>#DIV/0!</v>
      </c>
      <c r="Y848" s="4" t="e">
        <f>S848*6/U848</f>
        <v>#DIV/0!</v>
      </c>
      <c r="Z848" s="2">
        <v>0</v>
      </c>
      <c r="AA848" s="2">
        <v>0</v>
      </c>
      <c r="AB848" s="2">
        <v>0</v>
      </c>
      <c r="AC848" s="2">
        <v>3</v>
      </c>
    </row>
    <row r="849" spans="1:29" x14ac:dyDescent="0.35">
      <c r="A849" s="1" t="s">
        <v>887</v>
      </c>
      <c r="B849" s="1" t="s">
        <v>242</v>
      </c>
      <c r="C849">
        <f>D849+E849+F849+G849+H849+I849</f>
        <v>1</v>
      </c>
      <c r="D849" s="2">
        <v>0</v>
      </c>
      <c r="E849" s="2">
        <v>0</v>
      </c>
      <c r="F849" s="2">
        <v>0</v>
      </c>
      <c r="G849" s="2">
        <v>0</v>
      </c>
      <c r="H849" s="2">
        <v>1</v>
      </c>
      <c r="I849" s="2">
        <v>0</v>
      </c>
      <c r="J849" s="2">
        <v>0</v>
      </c>
      <c r="K849">
        <f>J849+L849</f>
        <v>0</v>
      </c>
      <c r="L849" s="2">
        <v>0</v>
      </c>
      <c r="M849" s="2">
        <v>1</v>
      </c>
      <c r="N849" s="2">
        <v>0</v>
      </c>
      <c r="O849" s="3" t="e">
        <f>N849/J849</f>
        <v>#DIV/0!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>
        <v>0</v>
      </c>
      <c r="V849" s="2">
        <v>0</v>
      </c>
      <c r="W849" s="3" t="e">
        <f>V849/S849</f>
        <v>#DIV/0!</v>
      </c>
      <c r="X849" s="3" t="e">
        <f>V849/U849</f>
        <v>#DIV/0!</v>
      </c>
      <c r="Y849" s="4" t="e">
        <f>S849*6/U849</f>
        <v>#DIV/0!</v>
      </c>
      <c r="Z849" s="2">
        <v>0</v>
      </c>
      <c r="AA849" s="2">
        <v>0</v>
      </c>
      <c r="AB849" s="2">
        <v>0</v>
      </c>
      <c r="AC849" s="2">
        <v>0</v>
      </c>
    </row>
    <row r="850" spans="1:29" x14ac:dyDescent="0.35">
      <c r="A850" s="1" t="s">
        <v>888</v>
      </c>
      <c r="B850" s="1" t="s">
        <v>533</v>
      </c>
      <c r="C850">
        <f>D850+E850+F850+G850+H850+I850</f>
        <v>12</v>
      </c>
      <c r="D850" s="2">
        <v>11</v>
      </c>
      <c r="E850" s="2">
        <v>0</v>
      </c>
      <c r="F850" s="2">
        <v>0</v>
      </c>
      <c r="G850" s="2">
        <v>1</v>
      </c>
      <c r="H850" s="2">
        <v>0</v>
      </c>
      <c r="I850" s="2">
        <v>0</v>
      </c>
      <c r="J850" s="2">
        <v>8</v>
      </c>
      <c r="K850">
        <f>J850+L850</f>
        <v>10</v>
      </c>
      <c r="L850" s="2">
        <v>2</v>
      </c>
      <c r="M850" s="2">
        <v>2</v>
      </c>
      <c r="N850" s="2">
        <v>347</v>
      </c>
      <c r="O850" s="3">
        <f>N850/J850</f>
        <v>43.375</v>
      </c>
      <c r="P850" s="2">
        <v>3</v>
      </c>
      <c r="Q850" s="2">
        <v>0</v>
      </c>
      <c r="R850" s="2">
        <v>79</v>
      </c>
      <c r="S850" s="2">
        <v>6</v>
      </c>
      <c r="T850" s="2">
        <v>1</v>
      </c>
      <c r="U850" s="2">
        <v>1</v>
      </c>
      <c r="V850" s="2">
        <v>14</v>
      </c>
      <c r="W850" s="3">
        <f>V850/S850</f>
        <v>2.3333333333333335</v>
      </c>
      <c r="X850" s="3">
        <f>V850/U850</f>
        <v>14</v>
      </c>
      <c r="Y850" s="4">
        <f>S850*6/U850</f>
        <v>36</v>
      </c>
      <c r="Z850" s="2">
        <v>1</v>
      </c>
      <c r="AA850" s="2">
        <v>0</v>
      </c>
      <c r="AB850" s="2">
        <v>0</v>
      </c>
      <c r="AC850" s="2">
        <v>8</v>
      </c>
    </row>
    <row r="851" spans="1:29" x14ac:dyDescent="0.35">
      <c r="A851" s="11" t="s">
        <v>1107</v>
      </c>
      <c r="B851" s="11" t="s">
        <v>1108</v>
      </c>
      <c r="C851">
        <f>D851+E851+F851+G851+H851+I851</f>
        <v>33</v>
      </c>
      <c r="D851" s="2">
        <v>33</v>
      </c>
      <c r="E851" s="2">
        <v>0</v>
      </c>
      <c r="F851" s="2">
        <v>0</v>
      </c>
      <c r="G851" s="2">
        <v>0</v>
      </c>
      <c r="H851" s="2">
        <v>0</v>
      </c>
      <c r="I851" s="2">
        <v>0</v>
      </c>
      <c r="J851" s="2">
        <v>29</v>
      </c>
      <c r="K851">
        <f>J851+L851</f>
        <v>32</v>
      </c>
      <c r="L851" s="2">
        <v>3</v>
      </c>
      <c r="M851" s="2">
        <v>1</v>
      </c>
      <c r="N851" s="2">
        <f>673+176</f>
        <v>849</v>
      </c>
      <c r="O851" s="3">
        <f>N851/J851</f>
        <v>29.275862068965516</v>
      </c>
      <c r="P851" s="2">
        <v>8</v>
      </c>
      <c r="Q851" s="2">
        <v>0</v>
      </c>
      <c r="R851" s="2" t="s">
        <v>1181</v>
      </c>
      <c r="S851" s="11">
        <v>5.3</v>
      </c>
      <c r="T851" s="11">
        <v>0</v>
      </c>
      <c r="U851" s="11">
        <v>5</v>
      </c>
      <c r="V851" s="11">
        <v>27</v>
      </c>
      <c r="W851" s="3">
        <f>27/5.3</f>
        <v>5.0943396226415096</v>
      </c>
      <c r="X851" s="3">
        <v>5.4</v>
      </c>
      <c r="Y851" s="3">
        <f>33/5</f>
        <v>6.6</v>
      </c>
      <c r="Z851" s="11" t="s">
        <v>1182</v>
      </c>
      <c r="AA851" s="2">
        <v>0</v>
      </c>
      <c r="AB851" s="2">
        <v>0</v>
      </c>
      <c r="AC851" s="2">
        <v>7</v>
      </c>
    </row>
    <row r="852" spans="1:29" x14ac:dyDescent="0.35">
      <c r="A852" s="34" t="s">
        <v>889</v>
      </c>
      <c r="B852" s="34" t="s">
        <v>265</v>
      </c>
      <c r="C852">
        <f>D852+E852+F852+G852+H852+I852</f>
        <v>8</v>
      </c>
      <c r="D852" s="5">
        <v>0</v>
      </c>
      <c r="E852" s="5">
        <v>3</v>
      </c>
      <c r="F852" s="5">
        <v>4</v>
      </c>
      <c r="G852" s="5">
        <v>0</v>
      </c>
      <c r="H852" s="5">
        <v>1</v>
      </c>
      <c r="I852" s="5">
        <v>0</v>
      </c>
      <c r="J852" s="5">
        <v>6</v>
      </c>
      <c r="K852">
        <f>J852+L852</f>
        <v>7</v>
      </c>
      <c r="L852" s="5">
        <v>1</v>
      </c>
      <c r="M852" s="5">
        <v>1</v>
      </c>
      <c r="N852" s="5">
        <v>149</v>
      </c>
      <c r="O852" s="3">
        <f>N852/J852</f>
        <v>24.833333333333332</v>
      </c>
      <c r="P852" s="5">
        <v>0</v>
      </c>
      <c r="Q852" s="5">
        <v>0</v>
      </c>
      <c r="R852" s="5">
        <v>47</v>
      </c>
      <c r="S852" s="40">
        <v>62</v>
      </c>
      <c r="T852" s="40">
        <v>6</v>
      </c>
      <c r="U852" s="40">
        <v>7</v>
      </c>
      <c r="V852" s="40">
        <v>234</v>
      </c>
      <c r="W852" s="3">
        <f>V852/S852</f>
        <v>3.774193548387097</v>
      </c>
      <c r="X852" s="3">
        <f>V852/U852</f>
        <v>33.428571428571431</v>
      </c>
      <c r="Y852" s="4">
        <f>S852*6/U852</f>
        <v>53.142857142857146</v>
      </c>
      <c r="Z852" s="40">
        <v>2</v>
      </c>
      <c r="AA852" s="5">
        <v>0</v>
      </c>
      <c r="AB852" s="5">
        <v>0</v>
      </c>
      <c r="AC852" s="5">
        <v>1</v>
      </c>
    </row>
    <row r="853" spans="1:29" x14ac:dyDescent="0.35">
      <c r="A853" s="1" t="s">
        <v>890</v>
      </c>
      <c r="B853" s="1" t="s">
        <v>204</v>
      </c>
      <c r="C853">
        <f>D853+E853+F853+G853+H853+I853</f>
        <v>7</v>
      </c>
      <c r="D853" s="2">
        <v>0</v>
      </c>
      <c r="E853" s="2">
        <v>3</v>
      </c>
      <c r="F853" s="2">
        <v>2</v>
      </c>
      <c r="G853" s="2">
        <v>0</v>
      </c>
      <c r="H853" s="2">
        <v>2</v>
      </c>
      <c r="I853" s="2">
        <v>0</v>
      </c>
      <c r="J853" s="2">
        <v>5</v>
      </c>
      <c r="K853">
        <f>J853+L853</f>
        <v>6</v>
      </c>
      <c r="L853" s="2">
        <v>1</v>
      </c>
      <c r="M853" s="2">
        <v>1</v>
      </c>
      <c r="N853" s="2">
        <v>61</v>
      </c>
      <c r="O853" s="3">
        <f>N853/J853</f>
        <v>12.2</v>
      </c>
      <c r="P853" s="2">
        <v>0</v>
      </c>
      <c r="Q853" s="2">
        <v>0</v>
      </c>
      <c r="R853" s="2">
        <v>18</v>
      </c>
      <c r="S853" s="2">
        <v>9</v>
      </c>
      <c r="T853" s="2">
        <v>0</v>
      </c>
      <c r="U853" s="2">
        <v>2</v>
      </c>
      <c r="V853" s="2">
        <v>24</v>
      </c>
      <c r="W853" s="3">
        <f>V853/S853</f>
        <v>2.6666666666666665</v>
      </c>
      <c r="X853" s="3">
        <f>V853/U853</f>
        <v>12</v>
      </c>
      <c r="Y853" s="4">
        <f>S853*6/U853</f>
        <v>27</v>
      </c>
      <c r="Z853" s="2">
        <v>2</v>
      </c>
      <c r="AA853" s="2">
        <v>0</v>
      </c>
      <c r="AB853" s="2">
        <v>0</v>
      </c>
      <c r="AC853" s="2">
        <v>2</v>
      </c>
    </row>
    <row r="854" spans="1:29" x14ac:dyDescent="0.35">
      <c r="A854" s="1" t="s">
        <v>891</v>
      </c>
      <c r="B854" s="1" t="s">
        <v>325</v>
      </c>
      <c r="C854">
        <f>D854+E854+F854+G854+H854+I854</f>
        <v>7</v>
      </c>
      <c r="D854" s="2">
        <v>0</v>
      </c>
      <c r="E854" s="2">
        <v>0</v>
      </c>
      <c r="F854" s="2">
        <v>6</v>
      </c>
      <c r="G854" s="2">
        <v>1</v>
      </c>
      <c r="H854" s="2">
        <v>0</v>
      </c>
      <c r="I854" s="2">
        <v>0</v>
      </c>
      <c r="J854" s="2">
        <v>7</v>
      </c>
      <c r="K854">
        <f>J854+L854</f>
        <v>7</v>
      </c>
      <c r="L854" s="2">
        <v>0</v>
      </c>
      <c r="M854" s="2">
        <v>0</v>
      </c>
      <c r="N854" s="2">
        <v>112</v>
      </c>
      <c r="O854" s="3">
        <f>N854/J854</f>
        <v>16</v>
      </c>
      <c r="P854" s="2">
        <v>0</v>
      </c>
      <c r="Q854" s="2">
        <v>0</v>
      </c>
      <c r="R854" s="2">
        <v>32</v>
      </c>
      <c r="S854" s="2">
        <v>0</v>
      </c>
      <c r="T854" s="2">
        <v>0</v>
      </c>
      <c r="U854" s="2">
        <v>0</v>
      </c>
      <c r="V854" s="2">
        <v>0</v>
      </c>
      <c r="W854" s="3" t="e">
        <f>V854/S854</f>
        <v>#DIV/0!</v>
      </c>
      <c r="X854" s="3" t="e">
        <f>V854/U854</f>
        <v>#DIV/0!</v>
      </c>
      <c r="Y854" s="4" t="e">
        <f>S854*6/U854</f>
        <v>#DIV/0!</v>
      </c>
      <c r="Z854" s="2">
        <v>0</v>
      </c>
      <c r="AA854" s="2">
        <v>0</v>
      </c>
      <c r="AB854" s="2">
        <v>0</v>
      </c>
      <c r="AC854" s="2">
        <v>8</v>
      </c>
    </row>
    <row r="855" spans="1:29" x14ac:dyDescent="0.35">
      <c r="A855" s="1" t="s">
        <v>891</v>
      </c>
      <c r="B855" s="1" t="s">
        <v>452</v>
      </c>
      <c r="C855">
        <f>D855+E855+F855+G855+H855+I855</f>
        <v>7</v>
      </c>
      <c r="D855" s="2">
        <v>0</v>
      </c>
      <c r="E855" s="2">
        <v>0</v>
      </c>
      <c r="F855" s="2">
        <v>1</v>
      </c>
      <c r="G855" s="2">
        <v>2</v>
      </c>
      <c r="H855" s="2">
        <v>1</v>
      </c>
      <c r="I855" s="2">
        <v>3</v>
      </c>
      <c r="J855" s="2">
        <v>6</v>
      </c>
      <c r="K855">
        <f>J855+L855</f>
        <v>6</v>
      </c>
      <c r="L855" s="2">
        <v>0</v>
      </c>
      <c r="M855" s="2">
        <v>2</v>
      </c>
      <c r="N855" s="2">
        <v>10</v>
      </c>
      <c r="O855" s="3">
        <f>N855/J855</f>
        <v>1.6666666666666667</v>
      </c>
      <c r="P855" s="2">
        <v>0</v>
      </c>
      <c r="Q855" s="2">
        <v>0</v>
      </c>
      <c r="R855" s="2">
        <v>6</v>
      </c>
      <c r="S855" s="2">
        <v>13</v>
      </c>
      <c r="T855" s="2">
        <v>2</v>
      </c>
      <c r="U855" s="2">
        <v>2</v>
      </c>
      <c r="V855" s="2">
        <v>80</v>
      </c>
      <c r="W855" s="3">
        <f>V855/S855</f>
        <v>6.1538461538461542</v>
      </c>
      <c r="X855" s="3">
        <f>V855/U855</f>
        <v>40</v>
      </c>
      <c r="Y855" s="4">
        <f>S855*6/U855</f>
        <v>39</v>
      </c>
      <c r="Z855" s="2">
        <v>2</v>
      </c>
      <c r="AA855" s="2">
        <v>0</v>
      </c>
      <c r="AB855" s="2">
        <v>0</v>
      </c>
      <c r="AC855" s="2">
        <v>0</v>
      </c>
    </row>
    <row r="856" spans="1:29" x14ac:dyDescent="0.35">
      <c r="A856" s="1" t="s">
        <v>727</v>
      </c>
      <c r="B856" s="1" t="s">
        <v>319</v>
      </c>
      <c r="C856">
        <f>D856+E856+F856+G856+H856+I856</f>
        <v>1</v>
      </c>
      <c r="D856" s="2">
        <v>0</v>
      </c>
      <c r="E856" s="2">
        <v>0</v>
      </c>
      <c r="F856" s="2">
        <v>0</v>
      </c>
      <c r="G856" s="2">
        <v>1</v>
      </c>
      <c r="H856" s="2">
        <v>0</v>
      </c>
      <c r="I856" s="2">
        <v>0</v>
      </c>
      <c r="J856" s="2">
        <v>1</v>
      </c>
      <c r="K856">
        <f>J856+L856</f>
        <v>1</v>
      </c>
      <c r="L856" s="2">
        <v>0</v>
      </c>
      <c r="M856" s="2">
        <v>0</v>
      </c>
      <c r="N856" s="2">
        <v>5</v>
      </c>
      <c r="O856" s="3">
        <f>N856/J856</f>
        <v>5</v>
      </c>
      <c r="P856" s="2">
        <v>0</v>
      </c>
      <c r="Q856" s="2">
        <v>0</v>
      </c>
      <c r="R856" s="2">
        <v>5</v>
      </c>
      <c r="S856" s="2">
        <v>1</v>
      </c>
      <c r="T856" s="2">
        <v>0</v>
      </c>
      <c r="U856" s="2">
        <v>0</v>
      </c>
      <c r="V856" s="2">
        <v>6</v>
      </c>
      <c r="W856" s="3">
        <f>V856/S856</f>
        <v>6</v>
      </c>
      <c r="X856" s="3" t="e">
        <f>V856/U856</f>
        <v>#DIV/0!</v>
      </c>
      <c r="Y856" s="4" t="e">
        <f>S856*6/U856</f>
        <v>#DIV/0!</v>
      </c>
      <c r="Z856" s="2">
        <v>0</v>
      </c>
      <c r="AA856" s="2">
        <v>0</v>
      </c>
      <c r="AB856" s="2">
        <v>0</v>
      </c>
      <c r="AC856" s="2">
        <v>0</v>
      </c>
    </row>
    <row r="857" spans="1:29" x14ac:dyDescent="0.35">
      <c r="A857" s="1" t="s">
        <v>892</v>
      </c>
      <c r="B857" s="1" t="s">
        <v>893</v>
      </c>
      <c r="C857">
        <f>D857+E857+F857+G857+H857+I857</f>
        <v>1</v>
      </c>
      <c r="D857" s="2">
        <v>0</v>
      </c>
      <c r="E857" s="2">
        <v>0</v>
      </c>
      <c r="F857" s="2">
        <v>0</v>
      </c>
      <c r="G857" s="2">
        <v>1</v>
      </c>
      <c r="H857" s="2">
        <v>0</v>
      </c>
      <c r="I857" s="2">
        <v>0</v>
      </c>
      <c r="J857" s="2">
        <v>0</v>
      </c>
      <c r="K857">
        <f>J857+L857</f>
        <v>0</v>
      </c>
      <c r="L857" s="2">
        <v>0</v>
      </c>
      <c r="M857" s="2">
        <v>1</v>
      </c>
      <c r="N857" s="2">
        <v>0</v>
      </c>
      <c r="O857" s="3" t="e">
        <f>N857/J857</f>
        <v>#DIV/0!</v>
      </c>
      <c r="P857" s="2">
        <v>0</v>
      </c>
      <c r="Q857" s="2">
        <v>0</v>
      </c>
      <c r="R857" s="2">
        <v>0</v>
      </c>
      <c r="S857" s="2">
        <v>7</v>
      </c>
      <c r="T857" s="2">
        <v>0</v>
      </c>
      <c r="U857" s="2">
        <v>2</v>
      </c>
      <c r="V857" s="2">
        <v>33</v>
      </c>
      <c r="W857" s="3">
        <f>V857/S857</f>
        <v>4.7142857142857144</v>
      </c>
      <c r="X857" s="3">
        <f>V857/U857</f>
        <v>16.5</v>
      </c>
      <c r="Y857" s="4">
        <f>S857*6/U857</f>
        <v>21</v>
      </c>
      <c r="Z857" s="2">
        <v>2</v>
      </c>
      <c r="AA857" s="2">
        <v>0</v>
      </c>
      <c r="AB857" s="2">
        <v>0</v>
      </c>
      <c r="AC857" s="2">
        <v>0</v>
      </c>
    </row>
    <row r="858" spans="1:29" x14ac:dyDescent="0.35">
      <c r="A858" s="1" t="s">
        <v>894</v>
      </c>
      <c r="B858" s="1" t="s">
        <v>895</v>
      </c>
      <c r="C858">
        <f>D858+E858+F858+G858+H858+I858</f>
        <v>67</v>
      </c>
      <c r="D858" s="2">
        <v>0</v>
      </c>
      <c r="E858" s="2">
        <v>2</v>
      </c>
      <c r="F858" s="2">
        <v>33</v>
      </c>
      <c r="G858" s="2">
        <v>13</v>
      </c>
      <c r="H858" s="2">
        <v>19</v>
      </c>
      <c r="I858" s="2">
        <v>0</v>
      </c>
      <c r="J858" s="2">
        <v>56</v>
      </c>
      <c r="K858">
        <f>J858+L858</f>
        <v>65</v>
      </c>
      <c r="L858" s="2">
        <v>9</v>
      </c>
      <c r="M858" s="2">
        <v>2</v>
      </c>
      <c r="N858" s="2">
        <f>898+187</f>
        <v>1085</v>
      </c>
      <c r="O858" s="3">
        <f>N858/J858</f>
        <v>19.375</v>
      </c>
      <c r="P858" s="2">
        <v>2</v>
      </c>
      <c r="Q858" s="2">
        <v>1</v>
      </c>
      <c r="R858" s="2">
        <v>115</v>
      </c>
      <c r="S858" s="2">
        <f>243+59.4</f>
        <v>302.39999999999998</v>
      </c>
      <c r="T858" s="2">
        <v>40</v>
      </c>
      <c r="U858" s="2">
        <f>39+12</f>
        <v>51</v>
      </c>
      <c r="V858" s="2">
        <f>770+170</f>
        <v>940</v>
      </c>
      <c r="W858" s="3">
        <f>V858/S858</f>
        <v>3.1084656084656088</v>
      </c>
      <c r="X858" s="3">
        <f>V858/U858</f>
        <v>18.431372549019606</v>
      </c>
      <c r="Y858" s="4">
        <f>S858*6/U858</f>
        <v>35.576470588235289</v>
      </c>
      <c r="Z858" s="2" t="s">
        <v>1131</v>
      </c>
      <c r="AA858" s="2">
        <v>0</v>
      </c>
      <c r="AB858" s="2">
        <v>0</v>
      </c>
      <c r="AC858" s="2">
        <v>18</v>
      </c>
    </row>
    <row r="859" spans="1:29" x14ac:dyDescent="0.35">
      <c r="A859" s="1" t="s">
        <v>240</v>
      </c>
      <c r="B859" s="1" t="s">
        <v>174</v>
      </c>
      <c r="C859">
        <f>D859+E859+F859+G859+H859+I859</f>
        <v>4</v>
      </c>
      <c r="D859" s="2">
        <v>0</v>
      </c>
      <c r="E859" s="2">
        <v>0</v>
      </c>
      <c r="F859" s="2">
        <v>0</v>
      </c>
      <c r="G859" s="2">
        <v>0</v>
      </c>
      <c r="H859" s="2">
        <v>2</v>
      </c>
      <c r="I859" s="2">
        <v>2</v>
      </c>
      <c r="J859" s="2">
        <v>4</v>
      </c>
      <c r="K859">
        <f>J859+L859</f>
        <v>4</v>
      </c>
      <c r="L859" s="2">
        <v>0</v>
      </c>
      <c r="M859" s="2">
        <v>0</v>
      </c>
      <c r="N859" s="2">
        <v>71</v>
      </c>
      <c r="O859" s="3">
        <f>N859/J859</f>
        <v>17.75</v>
      </c>
      <c r="P859" s="2">
        <v>1</v>
      </c>
      <c r="Q859" s="2">
        <v>0</v>
      </c>
      <c r="R859" s="2">
        <v>55</v>
      </c>
      <c r="S859" s="2">
        <v>17</v>
      </c>
      <c r="T859" s="2">
        <v>0</v>
      </c>
      <c r="U859" s="2">
        <v>5</v>
      </c>
      <c r="V859" s="2">
        <v>47</v>
      </c>
      <c r="W859" s="3">
        <f>V859/S859</f>
        <v>2.7647058823529411</v>
      </c>
      <c r="X859" s="3">
        <f>V859/U859</f>
        <v>9.4</v>
      </c>
      <c r="Y859" s="4">
        <f>S859*6/U859</f>
        <v>20.399999999999999</v>
      </c>
      <c r="Z859" s="2">
        <v>4</v>
      </c>
      <c r="AA859" s="2">
        <v>0</v>
      </c>
      <c r="AB859" s="2">
        <v>0</v>
      </c>
      <c r="AC859" s="2">
        <v>2</v>
      </c>
    </row>
    <row r="860" spans="1:29" x14ac:dyDescent="0.35">
      <c r="A860" s="1" t="s">
        <v>896</v>
      </c>
      <c r="B860" s="1" t="s">
        <v>163</v>
      </c>
      <c r="C860">
        <f>D860+E860+F860+G860+H860+I860</f>
        <v>1</v>
      </c>
      <c r="D860" s="2">
        <v>0</v>
      </c>
      <c r="E860" s="2">
        <v>0</v>
      </c>
      <c r="F860" s="2">
        <v>0</v>
      </c>
      <c r="G860" s="2">
        <v>0</v>
      </c>
      <c r="H860" s="2">
        <v>1</v>
      </c>
      <c r="I860" s="2">
        <v>0</v>
      </c>
      <c r="J860" s="2">
        <v>1</v>
      </c>
      <c r="K860">
        <f>J860+L860</f>
        <v>1</v>
      </c>
      <c r="L860" s="2">
        <v>0</v>
      </c>
      <c r="M860" s="2">
        <v>0</v>
      </c>
      <c r="N860" s="2">
        <v>60</v>
      </c>
      <c r="O860" s="3">
        <f>N860/J860</f>
        <v>60</v>
      </c>
      <c r="P860" s="2">
        <v>1</v>
      </c>
      <c r="Q860" s="2">
        <v>0</v>
      </c>
      <c r="R860" s="2">
        <v>60</v>
      </c>
      <c r="S860" s="2">
        <v>3</v>
      </c>
      <c r="T860" s="2">
        <v>2</v>
      </c>
      <c r="U860" s="2">
        <v>1</v>
      </c>
      <c r="V860" s="2">
        <v>3</v>
      </c>
      <c r="W860" s="3">
        <f>V860/S860</f>
        <v>1</v>
      </c>
      <c r="X860" s="3">
        <f>V860/U860</f>
        <v>3</v>
      </c>
      <c r="Y860" s="4">
        <f>S860*6/U860</f>
        <v>18</v>
      </c>
      <c r="Z860" s="2">
        <v>1</v>
      </c>
      <c r="AA860" s="2">
        <v>0</v>
      </c>
      <c r="AB860" s="2">
        <v>0</v>
      </c>
      <c r="AC860" s="2">
        <v>0</v>
      </c>
    </row>
    <row r="861" spans="1:29" x14ac:dyDescent="0.35">
      <c r="A861" s="1" t="s">
        <v>265</v>
      </c>
      <c r="B861" s="1" t="s">
        <v>603</v>
      </c>
      <c r="C861">
        <f>D861+E861+F861+G861+H861+I861</f>
        <v>18</v>
      </c>
      <c r="D861" s="2">
        <v>0</v>
      </c>
      <c r="E861" s="2">
        <v>8</v>
      </c>
      <c r="F861" s="2">
        <v>8</v>
      </c>
      <c r="G861" s="2">
        <v>1</v>
      </c>
      <c r="H861" s="2">
        <v>0</v>
      </c>
      <c r="I861" s="2">
        <v>1</v>
      </c>
      <c r="J861" s="2">
        <v>23</v>
      </c>
      <c r="K861">
        <f>J861+L861</f>
        <v>24</v>
      </c>
      <c r="L861" s="2">
        <v>1</v>
      </c>
      <c r="M861" s="2">
        <v>2</v>
      </c>
      <c r="N861" s="2">
        <v>392</v>
      </c>
      <c r="O861" s="3">
        <f>N861/J861</f>
        <v>17.043478260869566</v>
      </c>
      <c r="P861" s="2">
        <v>0</v>
      </c>
      <c r="Q861" s="2">
        <v>0</v>
      </c>
      <c r="R861" s="2">
        <v>49</v>
      </c>
      <c r="S861" s="2">
        <v>24</v>
      </c>
      <c r="T861" s="2">
        <v>0</v>
      </c>
      <c r="U861" s="2">
        <v>3</v>
      </c>
      <c r="V861" s="2">
        <v>115</v>
      </c>
      <c r="W861" s="3">
        <f>V861/S861</f>
        <v>4.791666666666667</v>
      </c>
      <c r="X861" s="3">
        <f>V861/U861</f>
        <v>38.333333333333336</v>
      </c>
      <c r="Y861" s="4">
        <f>S861*6/U861</f>
        <v>48</v>
      </c>
      <c r="Z861" s="2">
        <v>2</v>
      </c>
      <c r="AA861" s="2">
        <v>0</v>
      </c>
      <c r="AB861" s="2">
        <v>0</v>
      </c>
      <c r="AC861" s="2">
        <v>12</v>
      </c>
    </row>
    <row r="862" spans="1:29" x14ac:dyDescent="0.35">
      <c r="A862" s="1" t="s">
        <v>897</v>
      </c>
      <c r="B862" s="1" t="s">
        <v>898</v>
      </c>
      <c r="C862">
        <f>D862+E862+F862+G862+H862+I862</f>
        <v>2</v>
      </c>
      <c r="D862" s="2">
        <v>0</v>
      </c>
      <c r="E862" s="2">
        <v>0</v>
      </c>
      <c r="F862" s="2">
        <v>0</v>
      </c>
      <c r="G862" s="2">
        <v>1</v>
      </c>
      <c r="H862" s="2">
        <v>0</v>
      </c>
      <c r="I862" s="2">
        <v>1</v>
      </c>
      <c r="J862" s="2">
        <v>3</v>
      </c>
      <c r="K862">
        <f>J862+L862</f>
        <v>3</v>
      </c>
      <c r="L862" s="2">
        <v>0</v>
      </c>
      <c r="M862" s="2">
        <v>0</v>
      </c>
      <c r="N862" s="2">
        <v>0</v>
      </c>
      <c r="O862" s="3">
        <f>N862/J862</f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>
        <v>0</v>
      </c>
      <c r="V862" s="2">
        <v>0</v>
      </c>
      <c r="W862" s="3" t="e">
        <f>V862/S862</f>
        <v>#DIV/0!</v>
      </c>
      <c r="X862" s="3" t="e">
        <f>V862/U862</f>
        <v>#DIV/0!</v>
      </c>
      <c r="Y862" s="4" t="e">
        <f>S862*6/U862</f>
        <v>#DIV/0!</v>
      </c>
      <c r="Z862" s="2">
        <v>0</v>
      </c>
      <c r="AA862" s="2">
        <v>0</v>
      </c>
      <c r="AB862" s="2">
        <v>0</v>
      </c>
      <c r="AC862" s="2">
        <v>2</v>
      </c>
    </row>
    <row r="863" spans="1:29" x14ac:dyDescent="0.35">
      <c r="A863" s="37" t="s">
        <v>1336</v>
      </c>
      <c r="B863" s="37" t="s">
        <v>1337</v>
      </c>
      <c r="C863" s="18">
        <f>D863+E863+F863+G863+H863+I863</f>
        <v>45</v>
      </c>
      <c r="D863" s="21">
        <v>0</v>
      </c>
      <c r="E863" s="21">
        <v>0</v>
      </c>
      <c r="F863" s="21">
        <v>1</v>
      </c>
      <c r="G863" s="21">
        <v>15</v>
      </c>
      <c r="H863" s="21">
        <f>12+17</f>
        <v>29</v>
      </c>
      <c r="I863" s="21">
        <v>0</v>
      </c>
      <c r="J863" s="21">
        <v>28</v>
      </c>
      <c r="K863" s="18">
        <f>J863+L863</f>
        <v>41</v>
      </c>
      <c r="L863" s="21">
        <v>13</v>
      </c>
      <c r="M863" s="21">
        <v>4</v>
      </c>
      <c r="N863" s="21">
        <f>422+363</f>
        <v>785</v>
      </c>
      <c r="O863" s="19">
        <f>N863/J863</f>
        <v>28.035714285714285</v>
      </c>
      <c r="P863" s="21">
        <v>2</v>
      </c>
      <c r="Q863" s="21">
        <v>0</v>
      </c>
      <c r="R863" s="21" t="s">
        <v>1350</v>
      </c>
      <c r="S863" s="37">
        <f>56.2+21</f>
        <v>77.2</v>
      </c>
      <c r="T863" s="37">
        <v>6</v>
      </c>
      <c r="U863" s="37">
        <v>11</v>
      </c>
      <c r="V863" s="37">
        <f>284+173</f>
        <v>457</v>
      </c>
      <c r="W863" s="19">
        <f>V863/S863</f>
        <v>5.9196891191709842</v>
      </c>
      <c r="X863" s="19">
        <f>V863/U863</f>
        <v>41.545454545454547</v>
      </c>
      <c r="Y863" s="19">
        <f>S863*6/U863</f>
        <v>42.109090909090916</v>
      </c>
      <c r="Z863" s="37" t="s">
        <v>1348</v>
      </c>
      <c r="AA863" s="37">
        <v>0</v>
      </c>
      <c r="AB863" s="21">
        <v>0</v>
      </c>
      <c r="AC863" s="21">
        <v>30</v>
      </c>
    </row>
    <row r="864" spans="1:29" x14ac:dyDescent="0.35">
      <c r="A864" s="1" t="s">
        <v>899</v>
      </c>
      <c r="B864" s="1" t="s">
        <v>900</v>
      </c>
      <c r="C864">
        <f>D864+E864+F864+G864+H864+I864</f>
        <v>2</v>
      </c>
      <c r="D864" s="2">
        <v>0</v>
      </c>
      <c r="E864" s="2">
        <v>2</v>
      </c>
      <c r="F864" s="2">
        <v>0</v>
      </c>
      <c r="G864" s="2">
        <v>0</v>
      </c>
      <c r="H864" s="2">
        <v>0</v>
      </c>
      <c r="I864" s="2">
        <v>0</v>
      </c>
      <c r="J864" s="2">
        <v>2</v>
      </c>
      <c r="K864">
        <f>J864+L864</f>
        <v>2</v>
      </c>
      <c r="L864" s="2">
        <v>0</v>
      </c>
      <c r="M864" s="2">
        <v>0</v>
      </c>
      <c r="N864" s="2">
        <v>38</v>
      </c>
      <c r="O864" s="3">
        <f>N864/J864</f>
        <v>19</v>
      </c>
      <c r="P864" s="2">
        <v>0</v>
      </c>
      <c r="Q864" s="2">
        <v>0</v>
      </c>
      <c r="R864" s="2">
        <v>35</v>
      </c>
      <c r="S864" s="2">
        <v>14</v>
      </c>
      <c r="T864" s="2">
        <v>2</v>
      </c>
      <c r="U864" s="2">
        <v>2</v>
      </c>
      <c r="V864" s="2">
        <v>42</v>
      </c>
      <c r="W864" s="3">
        <f>V864/S864</f>
        <v>3</v>
      </c>
      <c r="X864" s="3">
        <f>V864/U864</f>
        <v>21</v>
      </c>
      <c r="Y864" s="4">
        <f>S864*6/U864</f>
        <v>42</v>
      </c>
      <c r="Z864" s="2">
        <v>2</v>
      </c>
      <c r="AA864" s="2">
        <v>0</v>
      </c>
      <c r="AB864" s="2">
        <v>0</v>
      </c>
      <c r="AC864" s="2">
        <v>0</v>
      </c>
    </row>
    <row r="865" spans="1:29" x14ac:dyDescent="0.35">
      <c r="A865" s="1" t="s">
        <v>901</v>
      </c>
      <c r="B865" s="1" t="s">
        <v>902</v>
      </c>
      <c r="C865">
        <f>D865+E865+F865+G865+H865+I865</f>
        <v>11</v>
      </c>
      <c r="D865" s="2">
        <v>0</v>
      </c>
      <c r="E865" s="2">
        <v>0</v>
      </c>
      <c r="F865" s="2">
        <v>0</v>
      </c>
      <c r="G865" s="2">
        <v>1</v>
      </c>
      <c r="H865" s="2">
        <v>10</v>
      </c>
      <c r="I865" s="2">
        <v>0</v>
      </c>
      <c r="J865" s="2">
        <v>8</v>
      </c>
      <c r="K865">
        <f>J865+L865</f>
        <v>9</v>
      </c>
      <c r="L865" s="2">
        <v>1</v>
      </c>
      <c r="M865" s="2">
        <v>2</v>
      </c>
      <c r="N865" s="2">
        <v>63</v>
      </c>
      <c r="O865" s="3">
        <f>N865/J865</f>
        <v>7.875</v>
      </c>
      <c r="P865" s="2">
        <v>0</v>
      </c>
      <c r="Q865" s="2">
        <v>0</v>
      </c>
      <c r="R865" s="2">
        <v>25</v>
      </c>
      <c r="S865" s="2">
        <v>4</v>
      </c>
      <c r="T865" s="2">
        <v>0</v>
      </c>
      <c r="U865" s="2">
        <v>1</v>
      </c>
      <c r="V865" s="2">
        <v>16</v>
      </c>
      <c r="W865" s="3">
        <f>V865/S865</f>
        <v>4</v>
      </c>
      <c r="X865" s="3">
        <f>V865/U865</f>
        <v>16</v>
      </c>
      <c r="Y865" s="4">
        <f>S865*6/U865</f>
        <v>24</v>
      </c>
      <c r="Z865" s="2">
        <v>1</v>
      </c>
      <c r="AA865" s="2">
        <v>0</v>
      </c>
      <c r="AB865" s="2">
        <v>0</v>
      </c>
      <c r="AC865" s="2">
        <v>0</v>
      </c>
    </row>
    <row r="866" spans="1:29" x14ac:dyDescent="0.35">
      <c r="A866" s="1" t="s">
        <v>903</v>
      </c>
      <c r="B866" s="1" t="s">
        <v>905</v>
      </c>
      <c r="C866">
        <f>D866+E866+F866+G866+H866+I866</f>
        <v>3</v>
      </c>
      <c r="D866" s="2">
        <v>0</v>
      </c>
      <c r="E866" s="2">
        <v>0</v>
      </c>
      <c r="F866" s="2">
        <v>3</v>
      </c>
      <c r="G866" s="2">
        <v>0</v>
      </c>
      <c r="H866" s="2">
        <v>0</v>
      </c>
      <c r="I866" s="2">
        <v>0</v>
      </c>
      <c r="J866" s="2">
        <v>0</v>
      </c>
      <c r="K866">
        <f>J866+L866</f>
        <v>0</v>
      </c>
      <c r="L866" s="2">
        <v>0</v>
      </c>
      <c r="M866" s="2">
        <v>3</v>
      </c>
      <c r="N866" s="2">
        <v>0</v>
      </c>
      <c r="O866" s="3" t="e">
        <f>N866/J866</f>
        <v>#DIV/0!</v>
      </c>
      <c r="P866" s="2">
        <v>0</v>
      </c>
      <c r="Q866" s="2">
        <v>0</v>
      </c>
      <c r="R866" s="2">
        <v>0</v>
      </c>
      <c r="S866" s="2">
        <v>8</v>
      </c>
      <c r="T866" s="2">
        <v>0</v>
      </c>
      <c r="U866" s="2">
        <v>1</v>
      </c>
      <c r="V866" s="2">
        <v>38</v>
      </c>
      <c r="W866" s="3">
        <f>V866/S866</f>
        <v>4.75</v>
      </c>
      <c r="X866" s="3">
        <f>V866/U866</f>
        <v>38</v>
      </c>
      <c r="Y866" s="4">
        <f>S866*6/U866</f>
        <v>48</v>
      </c>
      <c r="Z866" s="2">
        <v>1</v>
      </c>
      <c r="AA866" s="2">
        <v>0</v>
      </c>
      <c r="AB866" s="2">
        <v>0</v>
      </c>
      <c r="AC866" s="2">
        <v>0</v>
      </c>
    </row>
    <row r="867" spans="1:29" x14ac:dyDescent="0.35">
      <c r="A867" s="1" t="s">
        <v>903</v>
      </c>
      <c r="B867" s="1" t="s">
        <v>904</v>
      </c>
      <c r="C867">
        <f>D867+E867+F867+G867+H867+I867</f>
        <v>2</v>
      </c>
      <c r="D867" s="2">
        <v>0</v>
      </c>
      <c r="E867" s="2">
        <v>0</v>
      </c>
      <c r="F867" s="2">
        <v>2</v>
      </c>
      <c r="G867" s="2">
        <v>0</v>
      </c>
      <c r="H867" s="2">
        <v>0</v>
      </c>
      <c r="I867" s="2">
        <v>0</v>
      </c>
      <c r="J867" s="2">
        <v>1</v>
      </c>
      <c r="K867">
        <f>J867+L867</f>
        <v>1</v>
      </c>
      <c r="L867" s="2">
        <v>0</v>
      </c>
      <c r="M867" s="2">
        <v>1</v>
      </c>
      <c r="N867" s="2">
        <v>0</v>
      </c>
      <c r="O867" s="3">
        <f>N867/J867</f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>
        <v>0</v>
      </c>
      <c r="V867" s="2">
        <v>0</v>
      </c>
      <c r="W867" s="3" t="e">
        <f>V867/S867</f>
        <v>#DIV/0!</v>
      </c>
      <c r="X867" s="3" t="e">
        <f>V867/U867</f>
        <v>#DIV/0!</v>
      </c>
      <c r="Y867" s="4" t="e">
        <f>S867*6/U867</f>
        <v>#DIV/0!</v>
      </c>
      <c r="Z867" s="2">
        <v>0</v>
      </c>
      <c r="AA867" s="2">
        <v>0</v>
      </c>
      <c r="AB867" s="2">
        <v>0</v>
      </c>
      <c r="AC867" s="2">
        <v>0</v>
      </c>
    </row>
    <row r="868" spans="1:29" x14ac:dyDescent="0.35">
      <c r="A868" s="1" t="s">
        <v>906</v>
      </c>
      <c r="B868" s="1" t="s">
        <v>907</v>
      </c>
      <c r="C868">
        <f>D868+E868+F868+G868+H868+I868</f>
        <v>22</v>
      </c>
      <c r="D868" s="2">
        <v>2</v>
      </c>
      <c r="E868" s="2">
        <v>3</v>
      </c>
      <c r="F868" s="2">
        <v>2</v>
      </c>
      <c r="G868" s="2">
        <v>15</v>
      </c>
      <c r="H868" s="2">
        <v>0</v>
      </c>
      <c r="I868" s="2">
        <v>0</v>
      </c>
      <c r="J868" s="2">
        <v>18</v>
      </c>
      <c r="K868">
        <f>J868+L868</f>
        <v>21</v>
      </c>
      <c r="L868" s="2">
        <v>3</v>
      </c>
      <c r="M868" s="2">
        <v>1</v>
      </c>
      <c r="N868" s="2">
        <v>639</v>
      </c>
      <c r="O868" s="3">
        <f>N868/J868</f>
        <v>35.5</v>
      </c>
      <c r="P868" s="2">
        <v>5</v>
      </c>
      <c r="Q868" s="2">
        <v>0</v>
      </c>
      <c r="R868" s="2">
        <v>81</v>
      </c>
      <c r="S868" s="2">
        <v>52</v>
      </c>
      <c r="T868" s="2">
        <v>3</v>
      </c>
      <c r="U868" s="2">
        <v>16</v>
      </c>
      <c r="V868" s="2">
        <v>247</v>
      </c>
      <c r="W868" s="3">
        <f>V868/S868</f>
        <v>4.75</v>
      </c>
      <c r="X868" s="3">
        <f>V868/U868</f>
        <v>15.4375</v>
      </c>
      <c r="Y868" s="4">
        <f>S868*6/U868</f>
        <v>19.5</v>
      </c>
      <c r="Z868" s="2">
        <v>4</v>
      </c>
      <c r="AA868" s="2">
        <v>0</v>
      </c>
      <c r="AB868" s="2">
        <v>0</v>
      </c>
      <c r="AC868" s="2">
        <v>5</v>
      </c>
    </row>
    <row r="869" spans="1:29" x14ac:dyDescent="0.35">
      <c r="A869" s="1" t="s">
        <v>287</v>
      </c>
      <c r="B869" s="1" t="s">
        <v>908</v>
      </c>
      <c r="C869">
        <f>D869+E869+F869+G869+H869+I869</f>
        <v>15</v>
      </c>
      <c r="D869" s="2">
        <v>15</v>
      </c>
      <c r="E869" s="2">
        <v>0</v>
      </c>
      <c r="F869" s="2">
        <v>0</v>
      </c>
      <c r="G869" s="2">
        <v>0</v>
      </c>
      <c r="H869" s="2">
        <v>0</v>
      </c>
      <c r="I869" s="2">
        <v>0</v>
      </c>
      <c r="J869" s="2">
        <v>12</v>
      </c>
      <c r="K869">
        <f>J869+L869</f>
        <v>15</v>
      </c>
      <c r="L869" s="2">
        <v>3</v>
      </c>
      <c r="M869" s="2">
        <v>0</v>
      </c>
      <c r="N869" s="2">
        <v>440</v>
      </c>
      <c r="O869" s="3">
        <f>N869/J869</f>
        <v>36.666666666666664</v>
      </c>
      <c r="P869" s="2">
        <v>3</v>
      </c>
      <c r="Q869" s="2">
        <v>0</v>
      </c>
      <c r="R869" s="2">
        <v>83</v>
      </c>
      <c r="S869" s="2">
        <v>185</v>
      </c>
      <c r="T869" s="2">
        <v>42</v>
      </c>
      <c r="U869" s="2">
        <v>17</v>
      </c>
      <c r="V869" s="2">
        <v>494</v>
      </c>
      <c r="W869" s="3">
        <f>V869/S869</f>
        <v>2.6702702702702701</v>
      </c>
      <c r="X869" s="3">
        <f>V869/U869</f>
        <v>29.058823529411764</v>
      </c>
      <c r="Y869" s="4">
        <f>S869*6/U869</f>
        <v>65.294117647058826</v>
      </c>
      <c r="Z869" s="2">
        <v>4</v>
      </c>
      <c r="AA869" s="2">
        <v>0</v>
      </c>
      <c r="AB869" s="2">
        <v>0</v>
      </c>
      <c r="AC869" s="2">
        <v>7</v>
      </c>
    </row>
    <row r="870" spans="1:29" x14ac:dyDescent="0.35">
      <c r="A870" s="1" t="s">
        <v>909</v>
      </c>
      <c r="B870" s="1" t="s">
        <v>910</v>
      </c>
      <c r="C870">
        <f>D870+E870+F870+G870+H870+I870</f>
        <v>3</v>
      </c>
      <c r="D870" s="2">
        <v>0</v>
      </c>
      <c r="E870" s="2">
        <v>0</v>
      </c>
      <c r="F870" s="2">
        <v>0</v>
      </c>
      <c r="G870" s="2">
        <v>0</v>
      </c>
      <c r="H870" s="2">
        <v>3</v>
      </c>
      <c r="I870" s="2">
        <v>0</v>
      </c>
      <c r="J870" s="2">
        <v>1</v>
      </c>
      <c r="K870">
        <f>J870+L870</f>
        <v>2</v>
      </c>
      <c r="L870" s="2">
        <v>1</v>
      </c>
      <c r="M870" s="2">
        <v>1</v>
      </c>
      <c r="N870" s="2">
        <v>5</v>
      </c>
      <c r="O870" s="3">
        <f>N870/J870</f>
        <v>5</v>
      </c>
      <c r="P870" s="2">
        <v>0</v>
      </c>
      <c r="Q870" s="2">
        <v>0</v>
      </c>
      <c r="R870" s="2">
        <v>3</v>
      </c>
      <c r="S870" s="2">
        <v>0</v>
      </c>
      <c r="T870" s="2">
        <v>0</v>
      </c>
      <c r="U870" s="2">
        <v>0</v>
      </c>
      <c r="V870" s="2">
        <v>0</v>
      </c>
      <c r="W870" s="3" t="e">
        <f>V870/S870</f>
        <v>#DIV/0!</v>
      </c>
      <c r="X870" s="3" t="e">
        <f>V870/U870</f>
        <v>#DIV/0!</v>
      </c>
      <c r="Y870" s="4" t="e">
        <f>S870*6/U870</f>
        <v>#DIV/0!</v>
      </c>
      <c r="Z870" s="2">
        <v>0</v>
      </c>
      <c r="AA870" s="2">
        <v>0</v>
      </c>
      <c r="AB870" s="2">
        <v>0</v>
      </c>
      <c r="AC870" s="2">
        <v>0</v>
      </c>
    </row>
    <row r="871" spans="1:29" x14ac:dyDescent="0.35">
      <c r="A871" s="1" t="s">
        <v>895</v>
      </c>
      <c r="B871" s="1" t="s">
        <v>911</v>
      </c>
      <c r="C871">
        <f>D871+E871+F871+G871+H871+I871</f>
        <v>1</v>
      </c>
      <c r="D871" s="2">
        <v>0</v>
      </c>
      <c r="E871" s="2">
        <v>1</v>
      </c>
      <c r="F871" s="2">
        <v>0</v>
      </c>
      <c r="G871" s="2">
        <v>0</v>
      </c>
      <c r="H871" s="2">
        <v>0</v>
      </c>
      <c r="I871" s="2">
        <v>0</v>
      </c>
      <c r="J871" s="2">
        <v>1</v>
      </c>
      <c r="K871">
        <f>J871+L871</f>
        <v>1</v>
      </c>
      <c r="L871" s="2">
        <v>0</v>
      </c>
      <c r="M871" s="2">
        <v>0</v>
      </c>
      <c r="N871" s="2">
        <v>5</v>
      </c>
      <c r="O871" s="3">
        <f>N871/J871</f>
        <v>5</v>
      </c>
      <c r="P871" s="2">
        <v>0</v>
      </c>
      <c r="Q871" s="2">
        <v>0</v>
      </c>
      <c r="R871" s="2">
        <v>5</v>
      </c>
      <c r="S871" s="2">
        <v>0</v>
      </c>
      <c r="T871" s="2">
        <v>0</v>
      </c>
      <c r="U871" s="2">
        <v>0</v>
      </c>
      <c r="V871" s="2">
        <v>0</v>
      </c>
      <c r="W871" s="3" t="e">
        <f>V871/S871</f>
        <v>#DIV/0!</v>
      </c>
      <c r="X871" s="3" t="e">
        <f>V871/U871</f>
        <v>#DIV/0!</v>
      </c>
      <c r="Y871" s="4" t="e">
        <f>S871*6/U871</f>
        <v>#DIV/0!</v>
      </c>
      <c r="Z871" s="2">
        <v>0</v>
      </c>
      <c r="AA871" s="2">
        <v>0</v>
      </c>
      <c r="AB871" s="2">
        <v>0</v>
      </c>
      <c r="AC871" s="2">
        <v>0</v>
      </c>
    </row>
    <row r="872" spans="1:29" x14ac:dyDescent="0.35">
      <c r="A872" s="1" t="s">
        <v>912</v>
      </c>
      <c r="B872" s="1" t="s">
        <v>94</v>
      </c>
      <c r="C872">
        <f>D872+E872+F872+G872+H872+I872</f>
        <v>4</v>
      </c>
      <c r="D872" s="2">
        <v>0</v>
      </c>
      <c r="E872" s="2">
        <v>1</v>
      </c>
      <c r="F872" s="2">
        <v>0</v>
      </c>
      <c r="G872" s="2">
        <v>0</v>
      </c>
      <c r="H872" s="2">
        <v>3</v>
      </c>
      <c r="I872" s="2">
        <v>0</v>
      </c>
      <c r="J872" s="2">
        <v>4</v>
      </c>
      <c r="K872">
        <f>J872+L872</f>
        <v>4</v>
      </c>
      <c r="L872" s="2">
        <v>0</v>
      </c>
      <c r="M872" s="2">
        <v>0</v>
      </c>
      <c r="N872" s="2">
        <v>67</v>
      </c>
      <c r="O872" s="3">
        <f>N872/J872</f>
        <v>16.75</v>
      </c>
      <c r="P872" s="2">
        <v>0</v>
      </c>
      <c r="Q872" s="2">
        <v>0</v>
      </c>
      <c r="R872" s="2">
        <v>31</v>
      </c>
      <c r="S872" s="2">
        <v>17</v>
      </c>
      <c r="T872" s="2">
        <v>2</v>
      </c>
      <c r="U872" s="2">
        <v>0</v>
      </c>
      <c r="V872" s="2">
        <v>42</v>
      </c>
      <c r="W872" s="3">
        <f>V872/S872</f>
        <v>2.4705882352941178</v>
      </c>
      <c r="X872" s="3" t="e">
        <f>V872/U872</f>
        <v>#DIV/0!</v>
      </c>
      <c r="Y872" s="4" t="e">
        <f>S872*6/U872</f>
        <v>#DIV/0!</v>
      </c>
      <c r="Z872" s="2">
        <v>0</v>
      </c>
      <c r="AA872" s="2">
        <v>0</v>
      </c>
      <c r="AB872" s="2">
        <v>0</v>
      </c>
      <c r="AC872" s="2">
        <v>0</v>
      </c>
    </row>
    <row r="873" spans="1:29" x14ac:dyDescent="0.35">
      <c r="A873" s="1" t="s">
        <v>913</v>
      </c>
      <c r="B873" s="1" t="s">
        <v>434</v>
      </c>
      <c r="C873">
        <f>D873+E873+F873+G873+H873+I873</f>
        <v>4</v>
      </c>
      <c r="D873" s="2">
        <v>0</v>
      </c>
      <c r="E873" s="2">
        <v>0</v>
      </c>
      <c r="F873" s="2">
        <v>0</v>
      </c>
      <c r="G873" s="2">
        <v>0</v>
      </c>
      <c r="H873" s="2">
        <v>4</v>
      </c>
      <c r="I873" s="2">
        <v>0</v>
      </c>
      <c r="J873" s="2">
        <v>3</v>
      </c>
      <c r="K873" s="35">
        <f>J873+L873</f>
        <v>3</v>
      </c>
      <c r="L873" s="2">
        <v>0</v>
      </c>
      <c r="M873" s="2">
        <v>1</v>
      </c>
      <c r="N873" s="2">
        <v>49</v>
      </c>
      <c r="O873" s="3">
        <f>N873/J873</f>
        <v>16.333333333333332</v>
      </c>
      <c r="P873" s="2">
        <v>0</v>
      </c>
      <c r="Q873" s="2">
        <v>0</v>
      </c>
      <c r="R873" s="2">
        <v>21</v>
      </c>
      <c r="S873" s="2">
        <v>16</v>
      </c>
      <c r="T873" s="2">
        <v>1</v>
      </c>
      <c r="U873" s="2">
        <v>2</v>
      </c>
      <c r="V873" s="2">
        <v>85</v>
      </c>
      <c r="W873" s="3">
        <f>V873/S873</f>
        <v>5.3125</v>
      </c>
      <c r="X873" s="3">
        <f>V873/U873</f>
        <v>42.5</v>
      </c>
      <c r="Y873" s="4">
        <f>S873*6/U873</f>
        <v>48</v>
      </c>
      <c r="Z873" s="2">
        <v>1</v>
      </c>
      <c r="AA873" s="2">
        <v>0</v>
      </c>
      <c r="AB873" s="2">
        <v>0</v>
      </c>
      <c r="AC873" s="2">
        <v>1</v>
      </c>
    </row>
    <row r="874" spans="1:29" x14ac:dyDescent="0.35">
      <c r="A874" s="1" t="s">
        <v>914</v>
      </c>
      <c r="B874" s="1" t="s">
        <v>74</v>
      </c>
      <c r="C874">
        <f>D874+E874+F874+G874+H874+I874</f>
        <v>1</v>
      </c>
      <c r="D874" s="2">
        <v>0</v>
      </c>
      <c r="E874" s="2">
        <v>0</v>
      </c>
      <c r="F874" s="2">
        <v>0</v>
      </c>
      <c r="G874" s="2">
        <v>0</v>
      </c>
      <c r="H874" s="2">
        <v>0</v>
      </c>
      <c r="I874" s="2">
        <v>1</v>
      </c>
      <c r="J874" s="2">
        <v>1</v>
      </c>
      <c r="K874">
        <f>J874+L874</f>
        <v>1</v>
      </c>
      <c r="L874" s="2">
        <v>0</v>
      </c>
      <c r="M874" s="2">
        <v>0</v>
      </c>
      <c r="N874" s="2">
        <v>2</v>
      </c>
      <c r="O874" s="3">
        <f>N874/J874</f>
        <v>2</v>
      </c>
      <c r="P874" s="2">
        <v>0</v>
      </c>
      <c r="Q874" s="2">
        <v>0</v>
      </c>
      <c r="R874" s="2">
        <v>2</v>
      </c>
      <c r="S874" s="2">
        <v>0</v>
      </c>
      <c r="T874" s="2">
        <v>0</v>
      </c>
      <c r="U874" s="2">
        <v>0</v>
      </c>
      <c r="V874" s="2">
        <v>0</v>
      </c>
      <c r="W874" s="3" t="e">
        <f>V874/S874</f>
        <v>#DIV/0!</v>
      </c>
      <c r="X874" s="3" t="e">
        <f>V874/U874</f>
        <v>#DIV/0!</v>
      </c>
      <c r="Y874" s="4" t="e">
        <f>S874*6/U874</f>
        <v>#DIV/0!</v>
      </c>
      <c r="Z874" s="2">
        <v>0</v>
      </c>
      <c r="AA874" s="2">
        <v>0</v>
      </c>
      <c r="AB874" s="2">
        <v>0</v>
      </c>
      <c r="AC874" s="2">
        <v>0</v>
      </c>
    </row>
    <row r="875" spans="1:29" x14ac:dyDescent="0.35">
      <c r="A875" s="1" t="s">
        <v>914</v>
      </c>
      <c r="B875" s="1" t="s">
        <v>360</v>
      </c>
      <c r="C875">
        <f>D875+E875+F875+G875+H875+I875</f>
        <v>1</v>
      </c>
      <c r="D875" s="2">
        <v>0</v>
      </c>
      <c r="E875" s="2">
        <v>0</v>
      </c>
      <c r="F875" s="2">
        <v>0</v>
      </c>
      <c r="G875" s="2">
        <v>0</v>
      </c>
      <c r="H875" s="2">
        <v>0</v>
      </c>
      <c r="I875" s="2">
        <v>1</v>
      </c>
      <c r="J875" s="2">
        <v>1</v>
      </c>
      <c r="K875">
        <f>J875+L875</f>
        <v>1</v>
      </c>
      <c r="L875" s="2">
        <v>0</v>
      </c>
      <c r="M875" s="2">
        <v>0</v>
      </c>
      <c r="N875" s="2">
        <v>2</v>
      </c>
      <c r="O875" s="3">
        <f>N875/J875</f>
        <v>2</v>
      </c>
      <c r="P875" s="2">
        <v>0</v>
      </c>
      <c r="Q875" s="2">
        <v>0</v>
      </c>
      <c r="R875" s="2">
        <v>2</v>
      </c>
      <c r="S875" s="2">
        <v>5</v>
      </c>
      <c r="T875" s="2">
        <v>0</v>
      </c>
      <c r="U875" s="2">
        <v>0</v>
      </c>
      <c r="V875" s="2">
        <v>25</v>
      </c>
      <c r="W875" s="3">
        <f>V875/S875</f>
        <v>5</v>
      </c>
      <c r="X875" s="3" t="e">
        <f>V875/U875</f>
        <v>#DIV/0!</v>
      </c>
      <c r="Y875" s="4" t="e">
        <f>S875*6/U875</f>
        <v>#DIV/0!</v>
      </c>
      <c r="Z875" s="2">
        <v>0</v>
      </c>
      <c r="AA875" s="2">
        <v>0</v>
      </c>
      <c r="AB875" s="2">
        <v>0</v>
      </c>
      <c r="AC875" s="2">
        <v>0</v>
      </c>
    </row>
    <row r="876" spans="1:29" x14ac:dyDescent="0.35">
      <c r="A876" s="1" t="s">
        <v>915</v>
      </c>
      <c r="B876" s="1" t="s">
        <v>94</v>
      </c>
      <c r="C876">
        <f>D876+E876+F876+G876+H876+I876</f>
        <v>74</v>
      </c>
      <c r="D876" s="2">
        <v>1</v>
      </c>
      <c r="E876" s="2">
        <v>34</v>
      </c>
      <c r="F876" s="2">
        <v>12</v>
      </c>
      <c r="G876" s="2">
        <v>24</v>
      </c>
      <c r="H876" s="2">
        <v>2</v>
      </c>
      <c r="I876" s="2">
        <v>1</v>
      </c>
      <c r="J876" s="2">
        <v>132</v>
      </c>
      <c r="K876">
        <f>J876+L876</f>
        <v>144</v>
      </c>
      <c r="L876" s="2">
        <v>12</v>
      </c>
      <c r="M876" s="2">
        <v>9</v>
      </c>
      <c r="N876" s="2">
        <v>2843</v>
      </c>
      <c r="O876" s="3">
        <f>N876/J876</f>
        <v>21.537878787878789</v>
      </c>
      <c r="P876" s="2">
        <v>13</v>
      </c>
      <c r="Q876" s="2">
        <v>0</v>
      </c>
      <c r="R876" s="2">
        <v>84</v>
      </c>
      <c r="S876" s="2">
        <v>53</v>
      </c>
      <c r="T876" s="2">
        <v>0</v>
      </c>
      <c r="U876" s="2">
        <v>10</v>
      </c>
      <c r="V876" s="2">
        <v>247</v>
      </c>
      <c r="W876" s="3">
        <f>V876/S876</f>
        <v>4.6603773584905657</v>
      </c>
      <c r="X876" s="3">
        <f>V876/U876</f>
        <v>24.7</v>
      </c>
      <c r="Y876" s="4">
        <f>S876*6/U876</f>
        <v>31.8</v>
      </c>
      <c r="Z876" s="2">
        <v>3</v>
      </c>
      <c r="AA876" s="2">
        <v>0</v>
      </c>
      <c r="AB876" s="2">
        <v>0</v>
      </c>
      <c r="AC876" s="2">
        <v>30</v>
      </c>
    </row>
    <row r="877" spans="1:29" x14ac:dyDescent="0.35">
      <c r="A877" s="1" t="s">
        <v>916</v>
      </c>
      <c r="B877" s="1" t="s">
        <v>265</v>
      </c>
      <c r="C877">
        <f>D877+E877+F877+G877+H877+I877</f>
        <v>2</v>
      </c>
      <c r="D877" s="2">
        <v>0</v>
      </c>
      <c r="E877" s="2">
        <v>0</v>
      </c>
      <c r="F877" s="2">
        <v>0</v>
      </c>
      <c r="G877" s="2">
        <v>1</v>
      </c>
      <c r="H877" s="2">
        <v>1</v>
      </c>
      <c r="I877" s="2">
        <v>0</v>
      </c>
      <c r="J877" s="2">
        <v>2</v>
      </c>
      <c r="K877">
        <f>J877+L877</f>
        <v>2</v>
      </c>
      <c r="L877" s="2">
        <v>0</v>
      </c>
      <c r="M877" s="2">
        <v>0</v>
      </c>
      <c r="N877" s="2">
        <v>19</v>
      </c>
      <c r="O877" s="3">
        <f>N877/J877</f>
        <v>9.5</v>
      </c>
      <c r="P877" s="2">
        <v>0</v>
      </c>
      <c r="Q877" s="2">
        <v>0</v>
      </c>
      <c r="R877" s="2">
        <v>15</v>
      </c>
      <c r="S877" s="2">
        <v>16</v>
      </c>
      <c r="T877" s="2">
        <v>4</v>
      </c>
      <c r="U877" s="2">
        <v>1</v>
      </c>
      <c r="V877" s="2">
        <v>31</v>
      </c>
      <c r="W877" s="3">
        <f>V877/S877</f>
        <v>1.9375</v>
      </c>
      <c r="X877" s="3">
        <f>V877/U877</f>
        <v>31</v>
      </c>
      <c r="Y877" s="4">
        <f>S877*6/U877</f>
        <v>96</v>
      </c>
      <c r="Z877" s="2">
        <v>1</v>
      </c>
      <c r="AA877" s="2">
        <v>0</v>
      </c>
      <c r="AB877" s="2">
        <v>0</v>
      </c>
      <c r="AC877" s="2">
        <v>0</v>
      </c>
    </row>
    <row r="878" spans="1:29" x14ac:dyDescent="0.35">
      <c r="A878" s="1" t="s">
        <v>917</v>
      </c>
      <c r="B878" s="1" t="s">
        <v>106</v>
      </c>
      <c r="C878">
        <f>D878+E878+F878+G878+H878+I878</f>
        <v>1</v>
      </c>
      <c r="D878" s="2">
        <v>0</v>
      </c>
      <c r="E878" s="2">
        <v>0</v>
      </c>
      <c r="F878" s="2">
        <v>1</v>
      </c>
      <c r="G878" s="2">
        <v>0</v>
      </c>
      <c r="H878" s="2">
        <v>0</v>
      </c>
      <c r="I878" s="2">
        <v>0</v>
      </c>
      <c r="J878" s="2">
        <v>0</v>
      </c>
      <c r="K878">
        <f>J878+L878</f>
        <v>0</v>
      </c>
      <c r="L878" s="2">
        <v>0</v>
      </c>
      <c r="M878" s="2">
        <v>1</v>
      </c>
      <c r="N878" s="2">
        <v>0</v>
      </c>
      <c r="O878" s="3" t="e">
        <f>N878/J878</f>
        <v>#DIV/0!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>
        <v>0</v>
      </c>
      <c r="V878" s="2">
        <v>0</v>
      </c>
      <c r="W878" s="3" t="e">
        <f>V878/S878</f>
        <v>#DIV/0!</v>
      </c>
      <c r="X878" s="3" t="e">
        <f>V878/U878</f>
        <v>#DIV/0!</v>
      </c>
      <c r="Y878" s="4" t="e">
        <f>S878*6/U878</f>
        <v>#DIV/0!</v>
      </c>
      <c r="Z878" s="2">
        <v>0</v>
      </c>
      <c r="AA878" s="2">
        <v>0</v>
      </c>
      <c r="AB878" s="2">
        <v>0</v>
      </c>
      <c r="AC878" s="2">
        <v>0</v>
      </c>
    </row>
    <row r="879" spans="1:29" x14ac:dyDescent="0.35">
      <c r="A879" s="1" t="s">
        <v>918</v>
      </c>
      <c r="B879" s="1" t="s">
        <v>97</v>
      </c>
      <c r="C879">
        <f>D879+E879+F879+G879+H879+I879</f>
        <v>1</v>
      </c>
      <c r="D879" s="2">
        <v>0</v>
      </c>
      <c r="E879" s="2">
        <v>0</v>
      </c>
      <c r="F879" s="2">
        <v>0</v>
      </c>
      <c r="G879" s="2">
        <v>0</v>
      </c>
      <c r="H879" s="2">
        <v>1</v>
      </c>
      <c r="I879" s="2">
        <v>0</v>
      </c>
      <c r="J879" s="2">
        <v>0</v>
      </c>
      <c r="K879">
        <f>J879+L879</f>
        <v>0</v>
      </c>
      <c r="L879" s="2">
        <v>0</v>
      </c>
      <c r="M879" s="2">
        <v>1</v>
      </c>
      <c r="N879" s="2">
        <v>0</v>
      </c>
      <c r="O879" s="3" t="e">
        <f>N879/J879</f>
        <v>#DIV/0!</v>
      </c>
      <c r="P879" s="2">
        <v>0</v>
      </c>
      <c r="Q879" s="2">
        <v>0</v>
      </c>
      <c r="R879" s="2">
        <v>0</v>
      </c>
      <c r="S879" s="2">
        <v>3</v>
      </c>
      <c r="T879" s="2">
        <v>0</v>
      </c>
      <c r="U879" s="2">
        <v>0</v>
      </c>
      <c r="V879" s="2">
        <v>19</v>
      </c>
      <c r="W879" s="3">
        <f>V879/S879</f>
        <v>6.333333333333333</v>
      </c>
      <c r="X879" s="3" t="e">
        <f>V879/U879</f>
        <v>#DIV/0!</v>
      </c>
      <c r="Y879" s="4" t="e">
        <f>S879*6/U879</f>
        <v>#DIV/0!</v>
      </c>
      <c r="Z879" s="2">
        <v>0</v>
      </c>
      <c r="AA879" s="2">
        <v>0</v>
      </c>
      <c r="AB879" s="2">
        <v>0</v>
      </c>
      <c r="AC879" s="2">
        <v>0</v>
      </c>
    </row>
    <row r="880" spans="1:29" x14ac:dyDescent="0.35">
      <c r="A880" s="1" t="s">
        <v>919</v>
      </c>
      <c r="B880" s="1" t="s">
        <v>87</v>
      </c>
      <c r="C880">
        <f>D880+E880+F880+G880+H880+I880</f>
        <v>48</v>
      </c>
      <c r="D880" s="2">
        <v>46</v>
      </c>
      <c r="E880" s="2">
        <v>1</v>
      </c>
      <c r="F880" s="2">
        <v>0</v>
      </c>
      <c r="G880" s="2">
        <v>0</v>
      </c>
      <c r="H880" s="2">
        <v>1</v>
      </c>
      <c r="I880" s="2">
        <v>0</v>
      </c>
      <c r="J880" s="2">
        <v>18</v>
      </c>
      <c r="K880">
        <f>J880+L880</f>
        <v>32</v>
      </c>
      <c r="L880" s="2">
        <v>14</v>
      </c>
      <c r="M880" s="2">
        <v>19</v>
      </c>
      <c r="N880" s="2">
        <v>157</v>
      </c>
      <c r="O880" s="3">
        <f>N880/J880</f>
        <v>8.7222222222222214</v>
      </c>
      <c r="P880" s="2">
        <v>0</v>
      </c>
      <c r="Q880" s="2">
        <v>0</v>
      </c>
      <c r="R880" s="2">
        <v>17</v>
      </c>
      <c r="S880" s="2">
        <v>697</v>
      </c>
      <c r="T880" s="2">
        <v>206</v>
      </c>
      <c r="U880" s="2">
        <v>100</v>
      </c>
      <c r="V880" s="2">
        <v>1475</v>
      </c>
      <c r="W880" s="3">
        <f>V880/S880</f>
        <v>2.1162123385939742</v>
      </c>
      <c r="X880" s="3">
        <f>V880/U880</f>
        <v>14.75</v>
      </c>
      <c r="Y880" s="4">
        <f>S880*6/U880</f>
        <v>41.82</v>
      </c>
      <c r="Z880" s="2">
        <v>7</v>
      </c>
      <c r="AA880" s="2">
        <v>8</v>
      </c>
      <c r="AB880" s="2">
        <v>0</v>
      </c>
      <c r="AC880" s="2">
        <v>8</v>
      </c>
    </row>
    <row r="881" spans="1:29" x14ac:dyDescent="0.35">
      <c r="A881" s="1" t="s">
        <v>920</v>
      </c>
      <c r="B881" s="1" t="s">
        <v>18</v>
      </c>
      <c r="C881">
        <f>D881+E881+F881+G881+H881+I881</f>
        <v>59</v>
      </c>
      <c r="D881" s="2">
        <v>0</v>
      </c>
      <c r="E881" s="2">
        <v>1</v>
      </c>
      <c r="F881" s="2">
        <v>4</v>
      </c>
      <c r="G881" s="2">
        <v>41</v>
      </c>
      <c r="H881" s="2">
        <v>0</v>
      </c>
      <c r="I881" s="2">
        <v>13</v>
      </c>
      <c r="J881" s="2">
        <v>44</v>
      </c>
      <c r="K881">
        <f>J881+L881</f>
        <v>51</v>
      </c>
      <c r="L881" s="2">
        <v>7</v>
      </c>
      <c r="M881" s="2">
        <v>14</v>
      </c>
      <c r="N881" s="2">
        <v>426</v>
      </c>
      <c r="O881" s="3">
        <f>N881/J881</f>
        <v>9.6818181818181817</v>
      </c>
      <c r="P881" s="2">
        <v>1</v>
      </c>
      <c r="Q881" s="2">
        <v>0</v>
      </c>
      <c r="R881" s="2">
        <v>52</v>
      </c>
      <c r="S881" s="2">
        <v>290</v>
      </c>
      <c r="T881" s="2">
        <v>28</v>
      </c>
      <c r="U881" s="2">
        <v>53</v>
      </c>
      <c r="V881" s="2">
        <v>1211</v>
      </c>
      <c r="W881" s="3">
        <f>V881/S881</f>
        <v>4.1758620689655173</v>
      </c>
      <c r="X881" s="3">
        <f>V881/U881</f>
        <v>22.849056603773583</v>
      </c>
      <c r="Y881" s="4">
        <f>S881*6/U881</f>
        <v>32.830188679245282</v>
      </c>
      <c r="Z881" s="2">
        <v>4</v>
      </c>
      <c r="AA881" s="2">
        <v>0</v>
      </c>
      <c r="AB881" s="2">
        <v>0</v>
      </c>
      <c r="AC881" s="2">
        <v>21</v>
      </c>
    </row>
    <row r="882" spans="1:29" x14ac:dyDescent="0.35">
      <c r="A882" s="1" t="s">
        <v>920</v>
      </c>
      <c r="B882" s="1" t="s">
        <v>176</v>
      </c>
      <c r="C882">
        <f>D882+E882+F882+G882+H882+I882</f>
        <v>28</v>
      </c>
      <c r="D882" s="2">
        <v>0</v>
      </c>
      <c r="E882" s="2">
        <v>0</v>
      </c>
      <c r="F882" s="2">
        <v>3</v>
      </c>
      <c r="G882" s="2">
        <v>13</v>
      </c>
      <c r="H882" s="2">
        <v>11</v>
      </c>
      <c r="I882" s="2">
        <v>1</v>
      </c>
      <c r="J882" s="2">
        <v>27</v>
      </c>
      <c r="K882">
        <f>J882+L882</f>
        <v>29</v>
      </c>
      <c r="L882" s="2">
        <v>2</v>
      </c>
      <c r="M882" s="2">
        <v>1</v>
      </c>
      <c r="N882" s="2">
        <v>400</v>
      </c>
      <c r="O882" s="3">
        <f>N882/J882</f>
        <v>14.814814814814815</v>
      </c>
      <c r="P882" s="2">
        <v>1</v>
      </c>
      <c r="Q882" s="2">
        <v>0</v>
      </c>
      <c r="R882" s="2">
        <v>61</v>
      </c>
      <c r="S882" s="2">
        <v>9</v>
      </c>
      <c r="T882" s="2">
        <v>0</v>
      </c>
      <c r="U882" s="2">
        <v>0</v>
      </c>
      <c r="V882" s="2">
        <v>61</v>
      </c>
      <c r="W882" s="3">
        <f>V882/S882</f>
        <v>6.7777777777777777</v>
      </c>
      <c r="X882" s="3" t="e">
        <f>V882/U882</f>
        <v>#DIV/0!</v>
      </c>
      <c r="Y882" s="4" t="e">
        <f>S882*6/U882</f>
        <v>#DIV/0!</v>
      </c>
      <c r="Z882" s="2">
        <v>0</v>
      </c>
      <c r="AA882" s="2">
        <v>0</v>
      </c>
      <c r="AB882" s="2">
        <v>0</v>
      </c>
      <c r="AC882" s="2">
        <v>3</v>
      </c>
    </row>
    <row r="883" spans="1:29" x14ac:dyDescent="0.35">
      <c r="A883" s="1" t="s">
        <v>124</v>
      </c>
      <c r="B883" s="1" t="s">
        <v>24</v>
      </c>
      <c r="C883">
        <f>D883+E883+F883+G883+H883+I883</f>
        <v>6</v>
      </c>
      <c r="D883" s="2">
        <v>0</v>
      </c>
      <c r="E883" s="2">
        <v>6</v>
      </c>
      <c r="F883" s="2">
        <v>0</v>
      </c>
      <c r="G883" s="2">
        <v>0</v>
      </c>
      <c r="H883" s="2">
        <v>0</v>
      </c>
      <c r="I883" s="2">
        <v>0</v>
      </c>
      <c r="J883" s="2">
        <v>4</v>
      </c>
      <c r="K883">
        <f>J883+L883</f>
        <v>4</v>
      </c>
      <c r="L883" s="2">
        <v>0</v>
      </c>
      <c r="M883" s="2">
        <v>1</v>
      </c>
      <c r="N883" s="2">
        <v>63</v>
      </c>
      <c r="O883" s="3">
        <f>N883/J883</f>
        <v>15.75</v>
      </c>
      <c r="P883" s="2">
        <v>0</v>
      </c>
      <c r="Q883" s="2">
        <v>0</v>
      </c>
      <c r="R883" s="2">
        <v>18</v>
      </c>
      <c r="S883" s="2">
        <v>40</v>
      </c>
      <c r="T883" s="2">
        <v>2</v>
      </c>
      <c r="U883" s="2">
        <v>2</v>
      </c>
      <c r="V883" s="2">
        <v>163</v>
      </c>
      <c r="W883" s="3">
        <f>V883/S883</f>
        <v>4.0750000000000002</v>
      </c>
      <c r="X883" s="3">
        <f>V883/U883</f>
        <v>81.5</v>
      </c>
      <c r="Y883" s="4">
        <f>S883*6/U883</f>
        <v>120</v>
      </c>
      <c r="Z883" s="2">
        <v>1</v>
      </c>
      <c r="AA883" s="2">
        <v>0</v>
      </c>
      <c r="AB883" s="2">
        <v>0</v>
      </c>
      <c r="AC883" s="2">
        <v>0</v>
      </c>
    </row>
    <row r="884" spans="1:29" x14ac:dyDescent="0.35">
      <c r="A884" t="s">
        <v>1325</v>
      </c>
      <c r="B884" t="s">
        <v>1324</v>
      </c>
      <c r="C884">
        <f>D884+E884+F884+G884+H884+I884</f>
        <v>1</v>
      </c>
      <c r="D884" s="5">
        <v>0</v>
      </c>
      <c r="E884" s="5">
        <v>0</v>
      </c>
      <c r="F884" s="5">
        <v>1</v>
      </c>
      <c r="G884" s="5">
        <v>0</v>
      </c>
      <c r="H884" s="5">
        <v>0</v>
      </c>
      <c r="I884" s="5">
        <v>0</v>
      </c>
      <c r="J884" s="5">
        <v>0</v>
      </c>
      <c r="K884">
        <f>J884+L884</f>
        <v>1</v>
      </c>
      <c r="L884" s="5">
        <v>1</v>
      </c>
      <c r="M884" s="5">
        <v>0</v>
      </c>
      <c r="N884" s="5">
        <v>20</v>
      </c>
      <c r="O884" s="3" t="e">
        <f>N884/J884</f>
        <v>#DIV/0!</v>
      </c>
      <c r="P884" s="5">
        <v>0</v>
      </c>
      <c r="Q884" s="5">
        <v>0</v>
      </c>
      <c r="R884" s="35" t="s">
        <v>1326</v>
      </c>
      <c r="S884">
        <v>3</v>
      </c>
      <c r="T884">
        <v>0</v>
      </c>
      <c r="U884">
        <v>2</v>
      </c>
      <c r="V884">
        <v>13</v>
      </c>
      <c r="W884" s="3">
        <f>V884/S884</f>
        <v>4.333333333333333</v>
      </c>
      <c r="X884" s="3">
        <f>V884/U884</f>
        <v>6.5</v>
      </c>
      <c r="Y884" s="3">
        <f>S884*6/U884</f>
        <v>9</v>
      </c>
      <c r="Z884" t="s">
        <v>1276</v>
      </c>
      <c r="AA884" s="5">
        <v>0</v>
      </c>
      <c r="AB884" s="5">
        <v>0</v>
      </c>
      <c r="AC884" s="5">
        <v>1</v>
      </c>
    </row>
    <row r="885" spans="1:29" x14ac:dyDescent="0.35">
      <c r="A885" s="1" t="s">
        <v>921</v>
      </c>
      <c r="B885" s="1" t="s">
        <v>525</v>
      </c>
      <c r="C885">
        <f>D885+E885+F885+G885+H885+I885</f>
        <v>3</v>
      </c>
      <c r="D885" s="2">
        <v>0</v>
      </c>
      <c r="E885" s="2">
        <v>0</v>
      </c>
      <c r="F885" s="2">
        <v>3</v>
      </c>
      <c r="G885" s="2">
        <v>0</v>
      </c>
      <c r="H885" s="2">
        <v>0</v>
      </c>
      <c r="I885" s="2">
        <v>0</v>
      </c>
      <c r="J885" s="2">
        <v>3</v>
      </c>
      <c r="K885">
        <f>J885+L885</f>
        <v>3</v>
      </c>
      <c r="L885" s="2">
        <v>0</v>
      </c>
      <c r="M885" s="2">
        <v>0</v>
      </c>
      <c r="N885" s="2">
        <v>57</v>
      </c>
      <c r="O885" s="3">
        <f>N885/J885</f>
        <v>19</v>
      </c>
      <c r="P885" s="2">
        <v>0</v>
      </c>
      <c r="Q885" s="2">
        <v>0</v>
      </c>
      <c r="R885" s="2">
        <v>26</v>
      </c>
      <c r="S885" s="2">
        <v>40</v>
      </c>
      <c r="T885" s="2">
        <v>11</v>
      </c>
      <c r="U885" s="2">
        <v>7</v>
      </c>
      <c r="V885" s="2">
        <v>96</v>
      </c>
      <c r="W885" s="3">
        <f>V885/S885</f>
        <v>2.4</v>
      </c>
      <c r="X885" s="3">
        <f>V885/U885</f>
        <v>13.714285714285714</v>
      </c>
      <c r="Y885" s="4">
        <f>S885*6/U885</f>
        <v>34.285714285714285</v>
      </c>
      <c r="Z885" s="2">
        <v>5</v>
      </c>
      <c r="AA885" s="2">
        <v>1</v>
      </c>
      <c r="AB885" s="2">
        <v>0</v>
      </c>
      <c r="AC885" s="2">
        <v>0</v>
      </c>
    </row>
    <row r="886" spans="1:29" x14ac:dyDescent="0.35">
      <c r="A886" s="11" t="s">
        <v>1221</v>
      </c>
      <c r="B886" s="11" t="s">
        <v>1222</v>
      </c>
      <c r="C886">
        <f>D886+E886+F886+G886+H886+I886</f>
        <v>11</v>
      </c>
      <c r="D886" s="2">
        <v>0</v>
      </c>
      <c r="E886" s="2">
        <v>0</v>
      </c>
      <c r="F886" s="2">
        <v>11</v>
      </c>
      <c r="G886" s="2">
        <v>0</v>
      </c>
      <c r="H886" s="2">
        <v>0</v>
      </c>
      <c r="I886" s="2">
        <v>0</v>
      </c>
      <c r="J886" s="2">
        <v>10</v>
      </c>
      <c r="K886">
        <f>J886+L886</f>
        <v>11</v>
      </c>
      <c r="L886" s="2">
        <v>1</v>
      </c>
      <c r="M886" s="2">
        <v>0</v>
      </c>
      <c r="N886" s="2">
        <v>86</v>
      </c>
      <c r="O886" s="3">
        <f>N886/J886</f>
        <v>8.6</v>
      </c>
      <c r="P886" s="2">
        <v>0</v>
      </c>
      <c r="Q886" s="2">
        <v>0</v>
      </c>
      <c r="R886" s="2">
        <v>23</v>
      </c>
      <c r="S886" s="11">
        <v>45</v>
      </c>
      <c r="T886" s="11">
        <v>1</v>
      </c>
      <c r="U886" s="11">
        <v>12</v>
      </c>
      <c r="V886" s="11">
        <v>196</v>
      </c>
      <c r="W886" s="3">
        <f>V886/S886</f>
        <v>4.3555555555555552</v>
      </c>
      <c r="X886" s="3">
        <f>V886/U886</f>
        <v>16.333333333333332</v>
      </c>
      <c r="Y886" s="3">
        <f>270/12</f>
        <v>22.5</v>
      </c>
      <c r="Z886" s="11" t="s">
        <v>1211</v>
      </c>
      <c r="AA886" s="11">
        <v>0</v>
      </c>
      <c r="AB886" s="2">
        <v>0</v>
      </c>
      <c r="AC886" s="11">
        <v>6</v>
      </c>
    </row>
    <row r="887" spans="1:29" x14ac:dyDescent="0.35">
      <c r="A887" s="35" t="s">
        <v>1365</v>
      </c>
      <c r="B887" s="35" t="s">
        <v>1366</v>
      </c>
      <c r="C887">
        <f>D887+E887+F887+G887+H887+I887</f>
        <v>9</v>
      </c>
      <c r="D887" s="5">
        <v>0</v>
      </c>
      <c r="E887" s="5">
        <v>8</v>
      </c>
      <c r="F887" s="5">
        <v>1</v>
      </c>
      <c r="G887" s="5">
        <v>0</v>
      </c>
      <c r="H887" s="5">
        <v>0</v>
      </c>
      <c r="I887" s="5">
        <v>0</v>
      </c>
      <c r="J887" s="5">
        <v>6</v>
      </c>
      <c r="K887">
        <f>J887+L887</f>
        <v>8</v>
      </c>
      <c r="L887" s="5">
        <v>2</v>
      </c>
      <c r="M887" s="5">
        <v>2</v>
      </c>
      <c r="N887" s="5">
        <f>218+38</f>
        <v>256</v>
      </c>
      <c r="O887" s="3">
        <f>N887/J887</f>
        <v>42.666666666666664</v>
      </c>
      <c r="P887" s="5">
        <v>2</v>
      </c>
      <c r="Q887" s="5">
        <v>0</v>
      </c>
      <c r="R887" s="8">
        <v>65</v>
      </c>
      <c r="S887" s="35">
        <f>115.5+8</f>
        <v>123.5</v>
      </c>
      <c r="T887" s="35">
        <v>39</v>
      </c>
      <c r="U887" s="35">
        <v>22</v>
      </c>
      <c r="V887" s="35">
        <f>249+17</f>
        <v>266</v>
      </c>
      <c r="W887" s="3">
        <f>V887/S887</f>
        <v>2.1538461538461537</v>
      </c>
      <c r="X887" s="3">
        <f>V887/U887</f>
        <v>12.090909090909092</v>
      </c>
      <c r="Y887" s="3">
        <f>S887*6/U887</f>
        <v>33.68181818181818</v>
      </c>
      <c r="Z887" s="35" t="s">
        <v>1367</v>
      </c>
      <c r="AA887" s="35">
        <v>0</v>
      </c>
      <c r="AB887" s="5">
        <v>0</v>
      </c>
      <c r="AC887" s="5">
        <v>3</v>
      </c>
    </row>
    <row r="888" spans="1:29" x14ac:dyDescent="0.35">
      <c r="A888" s="34" t="s">
        <v>922</v>
      </c>
      <c r="B888" s="34" t="s">
        <v>56</v>
      </c>
      <c r="C888">
        <f>D888+E888+F888+G888+H888+I888</f>
        <v>3</v>
      </c>
      <c r="D888" s="5">
        <v>0</v>
      </c>
      <c r="E888" s="5">
        <v>0</v>
      </c>
      <c r="F888" s="5">
        <v>2</v>
      </c>
      <c r="G888" s="5">
        <v>1</v>
      </c>
      <c r="H888" s="5">
        <v>0</v>
      </c>
      <c r="I888" s="5">
        <v>0</v>
      </c>
      <c r="J888" s="5">
        <v>2</v>
      </c>
      <c r="K888">
        <f>J888+L888</f>
        <v>2</v>
      </c>
      <c r="L888" s="5">
        <v>0</v>
      </c>
      <c r="M888" s="5">
        <v>1</v>
      </c>
      <c r="N888" s="5">
        <v>5</v>
      </c>
      <c r="O888" s="3">
        <f>N888/J888</f>
        <v>2.5</v>
      </c>
      <c r="P888" s="5">
        <v>0</v>
      </c>
      <c r="Q888" s="5">
        <v>0</v>
      </c>
      <c r="R888" s="5">
        <v>4</v>
      </c>
      <c r="S888" s="40">
        <v>0</v>
      </c>
      <c r="T888" s="40">
        <v>0</v>
      </c>
      <c r="U888" s="40">
        <v>0</v>
      </c>
      <c r="V888" s="40">
        <v>0</v>
      </c>
      <c r="W888" s="3" t="e">
        <f>V888/S888</f>
        <v>#DIV/0!</v>
      </c>
      <c r="X888" s="3" t="e">
        <f>V888/U888</f>
        <v>#DIV/0!</v>
      </c>
      <c r="Y888" s="4" t="e">
        <f>S888*6/U888</f>
        <v>#DIV/0!</v>
      </c>
      <c r="Z888" s="40">
        <v>0</v>
      </c>
      <c r="AA888" s="40">
        <v>0</v>
      </c>
      <c r="AB888" s="5">
        <v>0</v>
      </c>
      <c r="AC888" s="40">
        <v>0</v>
      </c>
    </row>
    <row r="889" spans="1:29" x14ac:dyDescent="0.35">
      <c r="A889" s="1" t="s">
        <v>923</v>
      </c>
      <c r="B889" s="1" t="s">
        <v>307</v>
      </c>
      <c r="C889">
        <f>D889+E889+F889+G889+H889+I889</f>
        <v>5</v>
      </c>
      <c r="D889" s="2">
        <v>0</v>
      </c>
      <c r="E889" s="2">
        <v>0</v>
      </c>
      <c r="F889" s="2">
        <v>5</v>
      </c>
      <c r="G889" s="2">
        <v>0</v>
      </c>
      <c r="H889" s="2">
        <v>0</v>
      </c>
      <c r="I889" s="2">
        <v>0</v>
      </c>
      <c r="J889" s="2">
        <v>6</v>
      </c>
      <c r="K889">
        <f>J889+L889</f>
        <v>7</v>
      </c>
      <c r="L889" s="2">
        <v>1</v>
      </c>
      <c r="M889" s="2">
        <v>3</v>
      </c>
      <c r="N889" s="2">
        <v>123</v>
      </c>
      <c r="O889" s="3">
        <f>N889/J889</f>
        <v>20.5</v>
      </c>
      <c r="P889" s="2">
        <v>1</v>
      </c>
      <c r="Q889" s="2">
        <v>0</v>
      </c>
      <c r="R889" s="2">
        <v>64</v>
      </c>
      <c r="S889" s="2">
        <v>31</v>
      </c>
      <c r="T889" s="2">
        <v>2</v>
      </c>
      <c r="U889" s="2">
        <v>1</v>
      </c>
      <c r="V889" s="2">
        <v>150</v>
      </c>
      <c r="W889" s="3">
        <f>V889/S889</f>
        <v>4.838709677419355</v>
      </c>
      <c r="X889" s="3">
        <f>V889/U889</f>
        <v>150</v>
      </c>
      <c r="Y889" s="4">
        <f>S889*6/U889</f>
        <v>186</v>
      </c>
      <c r="Z889" s="2">
        <v>1</v>
      </c>
      <c r="AA889" s="2">
        <v>0</v>
      </c>
      <c r="AB889" s="2">
        <v>0</v>
      </c>
      <c r="AC889" s="2">
        <v>0</v>
      </c>
    </row>
    <row r="890" spans="1:29" x14ac:dyDescent="0.35">
      <c r="A890" s="1" t="s">
        <v>923</v>
      </c>
      <c r="B890" s="1" t="s">
        <v>924</v>
      </c>
      <c r="C890">
        <f>D890+E890+F890+G890+H890+I890</f>
        <v>1</v>
      </c>
      <c r="D890" s="2">
        <v>0</v>
      </c>
      <c r="E890" s="2">
        <v>0</v>
      </c>
      <c r="F890" s="2">
        <v>0</v>
      </c>
      <c r="G890" s="2">
        <v>1</v>
      </c>
      <c r="H890" s="2">
        <v>0</v>
      </c>
      <c r="I890" s="2">
        <v>0</v>
      </c>
      <c r="J890" s="2">
        <v>1</v>
      </c>
      <c r="K890">
        <f>J890+L890</f>
        <v>1</v>
      </c>
      <c r="L890" s="2">
        <v>0</v>
      </c>
      <c r="M890" s="2">
        <v>0</v>
      </c>
      <c r="N890" s="2">
        <v>8</v>
      </c>
      <c r="O890" s="3">
        <f>N890/J890</f>
        <v>8</v>
      </c>
      <c r="P890" s="2">
        <v>0</v>
      </c>
      <c r="Q890" s="2">
        <v>0</v>
      </c>
      <c r="R890" s="2">
        <v>8</v>
      </c>
      <c r="S890" s="2">
        <v>5</v>
      </c>
      <c r="T890" s="2">
        <v>0</v>
      </c>
      <c r="U890" s="2">
        <v>1</v>
      </c>
      <c r="V890" s="2">
        <v>18</v>
      </c>
      <c r="W890" s="3">
        <f>V890/S890</f>
        <v>3.6</v>
      </c>
      <c r="X890" s="3">
        <f>V890/U890</f>
        <v>18</v>
      </c>
      <c r="Y890" s="4">
        <f>S890*6/U890</f>
        <v>30</v>
      </c>
      <c r="Z890" s="2">
        <v>1</v>
      </c>
      <c r="AA890" s="2">
        <v>0</v>
      </c>
      <c r="AB890" s="2">
        <v>0</v>
      </c>
      <c r="AC890" s="2">
        <v>0</v>
      </c>
    </row>
    <row r="891" spans="1:29" x14ac:dyDescent="0.35">
      <c r="A891" s="1" t="s">
        <v>925</v>
      </c>
      <c r="B891" s="1" t="s">
        <v>926</v>
      </c>
      <c r="C891">
        <f>D891+E891+F891+G891+H891+I891</f>
        <v>10</v>
      </c>
      <c r="D891" s="2">
        <v>0</v>
      </c>
      <c r="E891" s="2">
        <v>0</v>
      </c>
      <c r="F891" s="2">
        <v>10</v>
      </c>
      <c r="G891" s="2">
        <v>0</v>
      </c>
      <c r="H891" s="2">
        <v>0</v>
      </c>
      <c r="I891" s="2">
        <v>0</v>
      </c>
      <c r="J891" s="2">
        <v>10</v>
      </c>
      <c r="K891">
        <f>J891+L891</f>
        <v>10</v>
      </c>
      <c r="L891" s="2">
        <v>0</v>
      </c>
      <c r="M891" s="2">
        <v>2</v>
      </c>
      <c r="N891" s="2">
        <v>139</v>
      </c>
      <c r="O891" s="3">
        <f>N891/J891</f>
        <v>13.9</v>
      </c>
      <c r="P891" s="2">
        <v>1</v>
      </c>
      <c r="Q891" s="2">
        <v>0</v>
      </c>
      <c r="R891" s="2">
        <v>53</v>
      </c>
      <c r="S891" s="2">
        <v>42</v>
      </c>
      <c r="T891" s="2">
        <v>5</v>
      </c>
      <c r="U891" s="2">
        <v>7</v>
      </c>
      <c r="V891" s="2">
        <v>210</v>
      </c>
      <c r="W891" s="3">
        <f>V891/S891</f>
        <v>5</v>
      </c>
      <c r="X891" s="3">
        <f>V891/U891</f>
        <v>30</v>
      </c>
      <c r="Y891" s="4">
        <f>S891*6/U891</f>
        <v>36</v>
      </c>
      <c r="Z891" s="2">
        <v>2</v>
      </c>
      <c r="AA891" s="2">
        <v>0</v>
      </c>
      <c r="AB891" s="2">
        <v>0</v>
      </c>
      <c r="AC891" s="2">
        <v>0</v>
      </c>
    </row>
    <row r="892" spans="1:29" x14ac:dyDescent="0.35">
      <c r="A892" s="1" t="s">
        <v>927</v>
      </c>
      <c r="B892" s="1" t="s">
        <v>434</v>
      </c>
      <c r="C892">
        <f>D892+E892+F892+G892+H892+I892</f>
        <v>61</v>
      </c>
      <c r="D892" s="2">
        <v>0</v>
      </c>
      <c r="E892" s="2">
        <v>0</v>
      </c>
      <c r="F892" s="2">
        <v>0</v>
      </c>
      <c r="G892" s="2">
        <v>4</v>
      </c>
      <c r="H892" s="2">
        <v>45</v>
      </c>
      <c r="I892" s="2">
        <v>12</v>
      </c>
      <c r="J892" s="2">
        <v>48</v>
      </c>
      <c r="K892">
        <f>J892+L892</f>
        <v>59</v>
      </c>
      <c r="L892" s="2">
        <v>11</v>
      </c>
      <c r="M892" s="2">
        <v>11</v>
      </c>
      <c r="N892" s="2">
        <v>882</v>
      </c>
      <c r="O892" s="3">
        <f>N892/J892</f>
        <v>18.375</v>
      </c>
      <c r="P892" s="2">
        <v>3</v>
      </c>
      <c r="Q892" s="2">
        <v>0</v>
      </c>
      <c r="R892" s="2">
        <v>71</v>
      </c>
      <c r="S892" s="2">
        <v>118</v>
      </c>
      <c r="T892" s="2">
        <v>26</v>
      </c>
      <c r="U892" s="2">
        <v>16</v>
      </c>
      <c r="V892" s="2">
        <v>383</v>
      </c>
      <c r="W892" s="3">
        <f>V892/S892</f>
        <v>3.2457627118644066</v>
      </c>
      <c r="X892" s="3">
        <f>V892/U892</f>
        <v>23.9375</v>
      </c>
      <c r="Y892" s="4">
        <f>S892*6/U892</f>
        <v>44.25</v>
      </c>
      <c r="Z892" s="2">
        <v>5</v>
      </c>
      <c r="AA892" s="2">
        <v>0</v>
      </c>
      <c r="AB892" s="2">
        <v>0</v>
      </c>
      <c r="AC892" s="2">
        <v>15</v>
      </c>
    </row>
    <row r="893" spans="1:29" x14ac:dyDescent="0.35">
      <c r="A893" s="1" t="s">
        <v>927</v>
      </c>
      <c r="B893" s="1" t="s">
        <v>130</v>
      </c>
      <c r="C893">
        <f>D893+E893+F893+G893+H893+I893</f>
        <v>18</v>
      </c>
      <c r="D893" s="2">
        <v>12</v>
      </c>
      <c r="E893" s="2">
        <v>0</v>
      </c>
      <c r="F893" s="2">
        <v>0</v>
      </c>
      <c r="G893" s="2">
        <v>3</v>
      </c>
      <c r="H893" s="2">
        <v>3</v>
      </c>
      <c r="I893" s="2">
        <v>0</v>
      </c>
      <c r="J893" s="2">
        <v>16</v>
      </c>
      <c r="K893">
        <f>J893+L893</f>
        <v>19</v>
      </c>
      <c r="L893" s="2">
        <v>3</v>
      </c>
      <c r="M893" s="2">
        <v>2</v>
      </c>
      <c r="N893" s="2">
        <v>342</v>
      </c>
      <c r="O893" s="3">
        <f>N893/J893</f>
        <v>21.375</v>
      </c>
      <c r="P893" s="2">
        <v>0</v>
      </c>
      <c r="Q893" s="2">
        <v>0</v>
      </c>
      <c r="R893" s="2">
        <v>47</v>
      </c>
      <c r="S893" s="2">
        <v>42</v>
      </c>
      <c r="T893" s="2">
        <v>5</v>
      </c>
      <c r="U893" s="2">
        <v>3</v>
      </c>
      <c r="V893" s="2">
        <v>134</v>
      </c>
      <c r="W893" s="3">
        <f>V893/S893</f>
        <v>3.1904761904761907</v>
      </c>
      <c r="X893" s="3">
        <f>V893/U893</f>
        <v>44.666666666666664</v>
      </c>
      <c r="Y893" s="4">
        <f>S893*6/U893</f>
        <v>84</v>
      </c>
      <c r="Z893" s="2">
        <v>1</v>
      </c>
      <c r="AA893" s="2">
        <v>0</v>
      </c>
      <c r="AB893" s="2">
        <v>0</v>
      </c>
      <c r="AC893" s="2">
        <v>3</v>
      </c>
    </row>
    <row r="894" spans="1:29" x14ac:dyDescent="0.35">
      <c r="A894" s="1" t="s">
        <v>927</v>
      </c>
      <c r="B894" s="1" t="s">
        <v>174</v>
      </c>
      <c r="C894">
        <f>D894+E894+F894+G894+H894+I894</f>
        <v>1</v>
      </c>
      <c r="D894" s="2">
        <v>0</v>
      </c>
      <c r="E894" s="2">
        <v>0</v>
      </c>
      <c r="F894" s="2">
        <v>0</v>
      </c>
      <c r="G894" s="2">
        <v>1</v>
      </c>
      <c r="H894" s="2">
        <v>0</v>
      </c>
      <c r="I894" s="2">
        <v>0</v>
      </c>
      <c r="J894" s="2">
        <v>1</v>
      </c>
      <c r="K894">
        <f>J894+L894</f>
        <v>1</v>
      </c>
      <c r="L894" s="2">
        <v>0</v>
      </c>
      <c r="M894" s="2">
        <v>0</v>
      </c>
      <c r="N894" s="2">
        <v>14</v>
      </c>
      <c r="O894" s="3">
        <f>N894/J894</f>
        <v>14</v>
      </c>
      <c r="P894" s="2">
        <v>0</v>
      </c>
      <c r="Q894" s="2">
        <v>0</v>
      </c>
      <c r="R894" s="2">
        <v>14</v>
      </c>
      <c r="S894" s="2">
        <v>11</v>
      </c>
      <c r="T894" s="2">
        <v>2</v>
      </c>
      <c r="U894" s="2">
        <v>1</v>
      </c>
      <c r="V894" s="2">
        <v>55</v>
      </c>
      <c r="W894" s="3">
        <f>V894/S894</f>
        <v>5</v>
      </c>
      <c r="X894" s="3">
        <f>V894/U894</f>
        <v>55</v>
      </c>
      <c r="Y894" s="4">
        <f>S894*6/U894</f>
        <v>66</v>
      </c>
      <c r="Z894" s="2">
        <v>1</v>
      </c>
      <c r="AA894" s="2">
        <v>0</v>
      </c>
      <c r="AB894" s="2">
        <v>0</v>
      </c>
      <c r="AC894" s="2">
        <v>0</v>
      </c>
    </row>
    <row r="895" spans="1:29" x14ac:dyDescent="0.35">
      <c r="A895" s="1" t="s">
        <v>928</v>
      </c>
      <c r="B895" s="1" t="s">
        <v>240</v>
      </c>
      <c r="C895">
        <f>D895+E895+F895+G895+H895+I895</f>
        <v>32</v>
      </c>
      <c r="D895" s="2">
        <v>0</v>
      </c>
      <c r="E895" s="2">
        <v>19</v>
      </c>
      <c r="F895" s="2">
        <v>5</v>
      </c>
      <c r="G895" s="2">
        <v>0</v>
      </c>
      <c r="H895" s="2">
        <v>4</v>
      </c>
      <c r="I895" s="2">
        <v>4</v>
      </c>
      <c r="J895" s="2">
        <v>24</v>
      </c>
      <c r="K895">
        <f>J895+L895</f>
        <v>32</v>
      </c>
      <c r="L895" s="2">
        <v>8</v>
      </c>
      <c r="M895" s="2">
        <v>2</v>
      </c>
      <c r="N895" s="2">
        <v>528</v>
      </c>
      <c r="O895" s="3">
        <f>N895/J895</f>
        <v>22</v>
      </c>
      <c r="P895" s="2">
        <v>1</v>
      </c>
      <c r="Q895" s="2">
        <v>0</v>
      </c>
      <c r="R895" s="2">
        <v>67</v>
      </c>
      <c r="S895" s="2">
        <v>4</v>
      </c>
      <c r="T895" s="2">
        <v>0</v>
      </c>
      <c r="U895" s="2">
        <v>0</v>
      </c>
      <c r="V895" s="2">
        <v>24</v>
      </c>
      <c r="W895" s="3">
        <f>V895/S895</f>
        <v>6</v>
      </c>
      <c r="X895" s="3" t="e">
        <f>V895/U895</f>
        <v>#DIV/0!</v>
      </c>
      <c r="Y895" s="4" t="e">
        <f>S895*6/U895</f>
        <v>#DIV/0!</v>
      </c>
      <c r="Z895" s="2">
        <v>0</v>
      </c>
      <c r="AA895" s="2">
        <v>0</v>
      </c>
      <c r="AB895" s="2">
        <v>0</v>
      </c>
      <c r="AC895" s="2">
        <v>33</v>
      </c>
    </row>
    <row r="896" spans="1:29" x14ac:dyDescent="0.35">
      <c r="A896" s="1" t="s">
        <v>929</v>
      </c>
      <c r="B896" s="1" t="s">
        <v>377</v>
      </c>
      <c r="C896">
        <f>D896+E896+F896+G896+H896+I896</f>
        <v>31</v>
      </c>
      <c r="D896" s="2">
        <v>0</v>
      </c>
      <c r="E896" s="2">
        <v>9</v>
      </c>
      <c r="F896" s="2">
        <v>8</v>
      </c>
      <c r="G896" s="2">
        <v>0</v>
      </c>
      <c r="H896" s="2">
        <v>13</v>
      </c>
      <c r="I896" s="2">
        <v>1</v>
      </c>
      <c r="J896" s="2">
        <v>36</v>
      </c>
      <c r="K896">
        <f>J896+L896</f>
        <v>44</v>
      </c>
      <c r="L896" s="2">
        <v>8</v>
      </c>
      <c r="M896" s="2">
        <v>2</v>
      </c>
      <c r="N896" s="2">
        <v>1003</v>
      </c>
      <c r="O896" s="3">
        <f>N896/J896</f>
        <v>27.861111111111111</v>
      </c>
      <c r="P896" s="2">
        <v>8</v>
      </c>
      <c r="Q896" s="2">
        <v>0</v>
      </c>
      <c r="R896" s="2">
        <v>80</v>
      </c>
      <c r="S896" s="2">
        <v>31</v>
      </c>
      <c r="T896" s="2">
        <v>5</v>
      </c>
      <c r="U896" s="2">
        <v>4</v>
      </c>
      <c r="V896" s="2">
        <v>106</v>
      </c>
      <c r="W896" s="3">
        <f>V896/S896</f>
        <v>3.4193548387096775</v>
      </c>
      <c r="X896" s="3">
        <f>V896/U896</f>
        <v>26.5</v>
      </c>
      <c r="Y896" s="4">
        <f>S896*6/U896</f>
        <v>46.5</v>
      </c>
      <c r="Z896" s="2">
        <v>4</v>
      </c>
      <c r="AA896" s="2">
        <v>0</v>
      </c>
      <c r="AB896" s="2">
        <v>0</v>
      </c>
      <c r="AC896" s="2">
        <v>19</v>
      </c>
    </row>
    <row r="897" spans="1:29" x14ac:dyDescent="0.35">
      <c r="A897" s="1" t="s">
        <v>929</v>
      </c>
      <c r="B897" s="1" t="s">
        <v>198</v>
      </c>
      <c r="C897">
        <f>D897+E897+F897+G897+H897+I897</f>
        <v>2</v>
      </c>
      <c r="D897" s="2">
        <v>0</v>
      </c>
      <c r="E897" s="2">
        <v>0</v>
      </c>
      <c r="F897" s="2">
        <v>1</v>
      </c>
      <c r="G897" s="2">
        <v>0</v>
      </c>
      <c r="H897" s="2">
        <v>1</v>
      </c>
      <c r="I897" s="2">
        <v>0</v>
      </c>
      <c r="J897" s="2">
        <v>1</v>
      </c>
      <c r="K897">
        <f>J897+L897</f>
        <v>1</v>
      </c>
      <c r="L897" s="2">
        <v>0</v>
      </c>
      <c r="M897" s="2">
        <v>1</v>
      </c>
      <c r="N897" s="2">
        <v>32</v>
      </c>
      <c r="O897" s="3">
        <f>N897/J897</f>
        <v>32</v>
      </c>
      <c r="P897" s="2">
        <v>0</v>
      </c>
      <c r="Q897" s="2">
        <v>0</v>
      </c>
      <c r="R897" s="2">
        <v>32</v>
      </c>
      <c r="S897" s="2">
        <v>0</v>
      </c>
      <c r="T897" s="2">
        <v>0</v>
      </c>
      <c r="U897" s="2">
        <v>0</v>
      </c>
      <c r="V897" s="2">
        <v>0</v>
      </c>
      <c r="W897" s="3" t="e">
        <f>V897/S897</f>
        <v>#DIV/0!</v>
      </c>
      <c r="X897" s="3" t="e">
        <f>V897/U897</f>
        <v>#DIV/0!</v>
      </c>
      <c r="Y897" s="4" t="e">
        <f>S897*6/U897</f>
        <v>#DIV/0!</v>
      </c>
      <c r="Z897" s="2">
        <v>0</v>
      </c>
      <c r="AA897" s="2">
        <v>0</v>
      </c>
      <c r="AB897" s="2">
        <v>0</v>
      </c>
      <c r="AC897" s="2">
        <v>0</v>
      </c>
    </row>
    <row r="898" spans="1:29" x14ac:dyDescent="0.35">
      <c r="A898" s="1" t="s">
        <v>930</v>
      </c>
      <c r="B898" s="1" t="s">
        <v>66</v>
      </c>
      <c r="C898">
        <f>D898+E898+F898+G898+H898+I898</f>
        <v>17</v>
      </c>
      <c r="D898" s="2">
        <v>17</v>
      </c>
      <c r="E898" s="2">
        <v>0</v>
      </c>
      <c r="F898" s="2">
        <v>0</v>
      </c>
      <c r="G898" s="2">
        <v>0</v>
      </c>
      <c r="H898" s="2">
        <v>0</v>
      </c>
      <c r="I898" s="2">
        <v>0</v>
      </c>
      <c r="J898" s="2">
        <v>16</v>
      </c>
      <c r="K898">
        <f>J898+L898</f>
        <v>16</v>
      </c>
      <c r="L898" s="2">
        <v>0</v>
      </c>
      <c r="M898" s="2">
        <v>1</v>
      </c>
      <c r="N898" s="2">
        <v>232</v>
      </c>
      <c r="O898" s="3">
        <f>N898/J898</f>
        <v>14.5</v>
      </c>
      <c r="P898" s="2">
        <v>1</v>
      </c>
      <c r="Q898" s="2">
        <v>0</v>
      </c>
      <c r="R898" s="2">
        <v>55</v>
      </c>
      <c r="S898" s="2">
        <v>252</v>
      </c>
      <c r="T898" s="2">
        <v>49</v>
      </c>
      <c r="U898" s="2">
        <v>41</v>
      </c>
      <c r="V898" s="2">
        <v>732</v>
      </c>
      <c r="W898" s="3">
        <f>V898/S898</f>
        <v>2.9047619047619047</v>
      </c>
      <c r="X898" s="3">
        <f>V898/U898</f>
        <v>17.853658536585368</v>
      </c>
      <c r="Y898" s="4">
        <f>S898*6/U898</f>
        <v>36.878048780487802</v>
      </c>
      <c r="Z898" s="2">
        <v>4</v>
      </c>
      <c r="AA898" s="2">
        <v>0</v>
      </c>
      <c r="AB898" s="2">
        <v>0</v>
      </c>
      <c r="AC898" s="2">
        <v>5</v>
      </c>
    </row>
    <row r="899" spans="1:29" x14ac:dyDescent="0.35">
      <c r="A899" s="1" t="s">
        <v>930</v>
      </c>
      <c r="B899" s="1" t="s">
        <v>553</v>
      </c>
      <c r="C899">
        <f>D899+E899+F899+G899+H899+I899</f>
        <v>15</v>
      </c>
      <c r="D899" s="2">
        <v>0</v>
      </c>
      <c r="E899" s="2">
        <v>14</v>
      </c>
      <c r="F899" s="2">
        <v>1</v>
      </c>
      <c r="G899" s="2">
        <v>0</v>
      </c>
      <c r="H899" s="2">
        <v>0</v>
      </c>
      <c r="I899" s="2">
        <v>0</v>
      </c>
      <c r="J899" s="2">
        <v>10</v>
      </c>
      <c r="K899">
        <f>J899+L899</f>
        <v>16</v>
      </c>
      <c r="L899" s="2">
        <v>6</v>
      </c>
      <c r="M899" s="2">
        <v>2</v>
      </c>
      <c r="N899" s="2">
        <v>311</v>
      </c>
      <c r="O899" s="3">
        <f>N899/J899</f>
        <v>31.1</v>
      </c>
      <c r="P899" s="2">
        <v>1</v>
      </c>
      <c r="Q899" s="2">
        <v>0</v>
      </c>
      <c r="R899" s="2">
        <v>80</v>
      </c>
      <c r="S899" s="2">
        <v>130</v>
      </c>
      <c r="T899" s="2">
        <v>26</v>
      </c>
      <c r="U899" s="2">
        <v>14</v>
      </c>
      <c r="V899" s="2">
        <v>411</v>
      </c>
      <c r="W899" s="3">
        <f>V899/S899</f>
        <v>3.1615384615384614</v>
      </c>
      <c r="X899" s="3">
        <f>V899/U899</f>
        <v>29.357142857142858</v>
      </c>
      <c r="Y899" s="4">
        <f>S899*6/U899</f>
        <v>55.714285714285715</v>
      </c>
      <c r="Z899" s="2">
        <v>4</v>
      </c>
      <c r="AA899" s="2">
        <v>0</v>
      </c>
      <c r="AB899" s="2">
        <v>0</v>
      </c>
      <c r="AC899" s="2">
        <v>4</v>
      </c>
    </row>
    <row r="900" spans="1:29" x14ac:dyDescent="0.35">
      <c r="A900" s="1" t="s">
        <v>930</v>
      </c>
      <c r="B900" s="1" t="s">
        <v>64</v>
      </c>
      <c r="C900">
        <f>D900+E900+F900+G900+H900+I900</f>
        <v>3</v>
      </c>
      <c r="D900" s="2">
        <v>0</v>
      </c>
      <c r="E900" s="2">
        <v>3</v>
      </c>
      <c r="F900" s="2">
        <v>0</v>
      </c>
      <c r="G900" s="2">
        <v>0</v>
      </c>
      <c r="H900" s="2">
        <v>0</v>
      </c>
      <c r="I900" s="2">
        <v>0</v>
      </c>
      <c r="J900" s="2">
        <v>4</v>
      </c>
      <c r="K900">
        <f>J900+L900</f>
        <v>4</v>
      </c>
      <c r="L900" s="2">
        <v>0</v>
      </c>
      <c r="M900" s="2">
        <v>0</v>
      </c>
      <c r="N900" s="2">
        <v>54</v>
      </c>
      <c r="O900" s="3">
        <f>N900/J900</f>
        <v>13.5</v>
      </c>
      <c r="P900" s="2">
        <v>0</v>
      </c>
      <c r="Q900" s="2">
        <v>0</v>
      </c>
      <c r="R900" s="2">
        <v>35</v>
      </c>
      <c r="S900" s="2">
        <v>7</v>
      </c>
      <c r="T900" s="2">
        <v>2</v>
      </c>
      <c r="U900" s="2">
        <v>0</v>
      </c>
      <c r="V900" s="2">
        <v>23</v>
      </c>
      <c r="W900" s="3">
        <f>V900/S900</f>
        <v>3.2857142857142856</v>
      </c>
      <c r="X900" s="3" t="e">
        <f>V900/U900</f>
        <v>#DIV/0!</v>
      </c>
      <c r="Y900" s="4" t="e">
        <f>S900*6/U900</f>
        <v>#DIV/0!</v>
      </c>
      <c r="Z900" s="2">
        <v>0</v>
      </c>
      <c r="AA900" s="2">
        <v>0</v>
      </c>
      <c r="AB900" s="2">
        <v>0</v>
      </c>
      <c r="AC900" s="2">
        <v>0</v>
      </c>
    </row>
    <row r="901" spans="1:29" x14ac:dyDescent="0.35">
      <c r="A901" s="1" t="s">
        <v>1202</v>
      </c>
      <c r="B901" s="1" t="s">
        <v>237</v>
      </c>
      <c r="C901">
        <f>D901+E901+F901+G901+H901+I901</f>
        <v>22</v>
      </c>
      <c r="D901" s="2">
        <v>0</v>
      </c>
      <c r="E901" s="2">
        <v>5</v>
      </c>
      <c r="F901" s="2">
        <v>8</v>
      </c>
      <c r="G901" s="2">
        <v>2</v>
      </c>
      <c r="H901" s="2">
        <v>7</v>
      </c>
      <c r="I901" s="2">
        <v>0</v>
      </c>
      <c r="J901" s="2">
        <v>4</v>
      </c>
      <c r="K901">
        <f>J901+L901</f>
        <v>12</v>
      </c>
      <c r="L901" s="2">
        <v>8</v>
      </c>
      <c r="M901" s="2">
        <v>9</v>
      </c>
      <c r="N901" s="2">
        <f>76+19</f>
        <v>95</v>
      </c>
      <c r="O901" s="3">
        <f>N901/J901</f>
        <v>23.75</v>
      </c>
      <c r="P901" s="2">
        <v>0</v>
      </c>
      <c r="Q901" s="2">
        <v>0</v>
      </c>
      <c r="R901" s="11" t="s">
        <v>1215</v>
      </c>
      <c r="S901" s="11">
        <f>89+56</f>
        <v>145</v>
      </c>
      <c r="T901" s="11">
        <v>24</v>
      </c>
      <c r="U901" s="11">
        <v>14</v>
      </c>
      <c r="V901" s="11">
        <f>327+194</f>
        <v>521</v>
      </c>
      <c r="W901" s="3">
        <v>3.2</v>
      </c>
      <c r="X901" s="3">
        <f>V901/U901</f>
        <v>37.214285714285715</v>
      </c>
      <c r="Y901" s="4">
        <f>S901*6/U901</f>
        <v>62.142857142857146</v>
      </c>
      <c r="Z901" s="35" t="s">
        <v>1341</v>
      </c>
      <c r="AA901" s="11">
        <v>0</v>
      </c>
      <c r="AB901" s="11">
        <v>0</v>
      </c>
      <c r="AC901" s="2">
        <v>8</v>
      </c>
    </row>
    <row r="902" spans="1:29" x14ac:dyDescent="0.35">
      <c r="A902" s="7" t="s">
        <v>931</v>
      </c>
      <c r="B902" s="7" t="s">
        <v>130</v>
      </c>
      <c r="C902">
        <f>D902+E902+F902+G902+H902+I902</f>
        <v>13</v>
      </c>
      <c r="D902" s="5">
        <v>0</v>
      </c>
      <c r="E902" s="5">
        <v>0</v>
      </c>
      <c r="F902" s="5">
        <v>0</v>
      </c>
      <c r="G902" s="5">
        <v>1</v>
      </c>
      <c r="H902" s="5">
        <v>3</v>
      </c>
      <c r="I902" s="5">
        <v>9</v>
      </c>
      <c r="J902" s="5">
        <v>12</v>
      </c>
      <c r="K902">
        <f>J902+L902</f>
        <v>14</v>
      </c>
      <c r="L902" s="5">
        <v>2</v>
      </c>
      <c r="M902" s="5">
        <v>3</v>
      </c>
      <c r="N902" s="5">
        <v>219</v>
      </c>
      <c r="O902" s="3">
        <f>N902/J902</f>
        <v>18.25</v>
      </c>
      <c r="P902" s="5">
        <v>1</v>
      </c>
      <c r="Q902" s="5">
        <v>0</v>
      </c>
      <c r="R902" s="40">
        <v>84</v>
      </c>
      <c r="S902" s="40">
        <v>147</v>
      </c>
      <c r="T902" s="40">
        <v>32</v>
      </c>
      <c r="U902" s="40">
        <v>19</v>
      </c>
      <c r="V902" s="40">
        <v>417</v>
      </c>
      <c r="W902" s="3">
        <f>V902/S902</f>
        <v>2.8367346938775508</v>
      </c>
      <c r="X902" s="3">
        <f>V902/U902</f>
        <v>21.94736842105263</v>
      </c>
      <c r="Y902" s="4">
        <f>S902*6/U902</f>
        <v>46.421052631578945</v>
      </c>
      <c r="Z902" s="40">
        <v>3</v>
      </c>
      <c r="AA902" s="40">
        <v>0</v>
      </c>
      <c r="AB902" s="40">
        <v>0</v>
      </c>
      <c r="AC902" s="5">
        <v>5</v>
      </c>
    </row>
    <row r="903" spans="1:29" x14ac:dyDescent="0.35">
      <c r="A903" s="1" t="s">
        <v>932</v>
      </c>
      <c r="B903" s="1" t="s">
        <v>295</v>
      </c>
      <c r="C903">
        <f>D903+E903+F903+G903+H903+I903</f>
        <v>89</v>
      </c>
      <c r="D903" s="2">
        <v>20</v>
      </c>
      <c r="E903" s="2">
        <v>43</v>
      </c>
      <c r="F903" s="2">
        <v>6</v>
      </c>
      <c r="G903" s="2">
        <v>7</v>
      </c>
      <c r="H903" s="2">
        <v>4</v>
      </c>
      <c r="I903" s="2">
        <v>9</v>
      </c>
      <c r="J903" s="2">
        <v>93</v>
      </c>
      <c r="K903">
        <f>J903+L903</f>
        <v>100</v>
      </c>
      <c r="L903" s="2">
        <v>7</v>
      </c>
      <c r="M903" s="2">
        <v>9</v>
      </c>
      <c r="N903" s="2">
        <v>1754</v>
      </c>
      <c r="O903" s="3">
        <f>N903/J903</f>
        <v>18.86021505376344</v>
      </c>
      <c r="P903" s="2">
        <v>6</v>
      </c>
      <c r="Q903" s="2">
        <v>2</v>
      </c>
      <c r="R903" s="2">
        <v>114</v>
      </c>
      <c r="S903" s="2">
        <v>346</v>
      </c>
      <c r="T903" s="2">
        <v>61</v>
      </c>
      <c r="U903" s="2">
        <v>70</v>
      </c>
      <c r="V903" s="2">
        <v>1135</v>
      </c>
      <c r="W903" s="3">
        <f>V903/S903</f>
        <v>3.2803468208092488</v>
      </c>
      <c r="X903" s="3">
        <f>V903/U903</f>
        <v>16.214285714285715</v>
      </c>
      <c r="Y903" s="4">
        <f>S903*6/U903</f>
        <v>29.657142857142858</v>
      </c>
      <c r="Z903" s="2">
        <v>6</v>
      </c>
      <c r="AA903" s="2">
        <v>3</v>
      </c>
      <c r="AB903" s="2">
        <v>0</v>
      </c>
      <c r="AC903" s="2">
        <v>35</v>
      </c>
    </row>
    <row r="904" spans="1:29" x14ac:dyDescent="0.35">
      <c r="A904" s="1" t="s">
        <v>932</v>
      </c>
      <c r="B904" s="1" t="s">
        <v>212</v>
      </c>
      <c r="C904">
        <f>D904+E904+F904+G904+H904+I904</f>
        <v>18</v>
      </c>
      <c r="D904" s="2">
        <v>0</v>
      </c>
      <c r="E904" s="2">
        <v>0</v>
      </c>
      <c r="F904" s="2">
        <v>7</v>
      </c>
      <c r="G904" s="2">
        <v>11</v>
      </c>
      <c r="H904" s="2">
        <v>0</v>
      </c>
      <c r="I904" s="2">
        <v>0</v>
      </c>
      <c r="J904" s="2">
        <v>16</v>
      </c>
      <c r="K904">
        <f>J904+L904</f>
        <v>18</v>
      </c>
      <c r="L904" s="2">
        <v>2</v>
      </c>
      <c r="M904" s="2">
        <v>1</v>
      </c>
      <c r="N904" s="2">
        <v>271</v>
      </c>
      <c r="O904" s="3">
        <f>N904/J904</f>
        <v>16.9375</v>
      </c>
      <c r="P904" s="2">
        <v>1</v>
      </c>
      <c r="Q904" s="2">
        <v>0</v>
      </c>
      <c r="R904" s="2">
        <v>72</v>
      </c>
      <c r="S904" s="2">
        <v>2</v>
      </c>
      <c r="T904" s="2">
        <v>0</v>
      </c>
      <c r="U904" s="2">
        <v>1</v>
      </c>
      <c r="V904" s="2">
        <v>0</v>
      </c>
      <c r="W904" s="3">
        <f>V904/S904</f>
        <v>0</v>
      </c>
      <c r="X904" s="3">
        <f>V904/U904</f>
        <v>0</v>
      </c>
      <c r="Y904" s="4">
        <f>S904*6/U904</f>
        <v>12</v>
      </c>
      <c r="Z904" s="2">
        <v>1</v>
      </c>
      <c r="AA904" s="2">
        <v>0</v>
      </c>
      <c r="AB904" s="2">
        <v>0</v>
      </c>
      <c r="AC904" s="2">
        <v>7</v>
      </c>
    </row>
    <row r="905" spans="1:29" x14ac:dyDescent="0.35">
      <c r="A905" s="1" t="s">
        <v>932</v>
      </c>
      <c r="B905" s="1" t="s">
        <v>199</v>
      </c>
      <c r="C905">
        <f>D905+E905+F905+G905+H905+I905</f>
        <v>3</v>
      </c>
      <c r="D905" s="2">
        <v>0</v>
      </c>
      <c r="E905" s="2">
        <v>0</v>
      </c>
      <c r="F905" s="2">
        <v>0</v>
      </c>
      <c r="G905" s="2">
        <v>3</v>
      </c>
      <c r="H905" s="2">
        <v>0</v>
      </c>
      <c r="I905" s="2">
        <v>0</v>
      </c>
      <c r="J905" s="2">
        <v>2</v>
      </c>
      <c r="K905">
        <f>J905+L905</f>
        <v>2</v>
      </c>
      <c r="L905" s="2">
        <v>0</v>
      </c>
      <c r="M905" s="2">
        <v>1</v>
      </c>
      <c r="N905" s="2">
        <v>10</v>
      </c>
      <c r="O905" s="3">
        <f>N905/J905</f>
        <v>5</v>
      </c>
      <c r="P905" s="2">
        <v>0</v>
      </c>
      <c r="Q905" s="2">
        <v>0</v>
      </c>
      <c r="R905" s="2">
        <v>10</v>
      </c>
      <c r="S905" s="2">
        <v>0</v>
      </c>
      <c r="T905" s="2">
        <v>0</v>
      </c>
      <c r="U905" s="2">
        <v>0</v>
      </c>
      <c r="V905" s="2">
        <v>0</v>
      </c>
      <c r="W905" s="3" t="e">
        <f>V905/S905</f>
        <v>#DIV/0!</v>
      </c>
      <c r="X905" s="3" t="e">
        <f>V905/U905</f>
        <v>#DIV/0!</v>
      </c>
      <c r="Y905" s="4" t="e">
        <f>S905*6/U905</f>
        <v>#DIV/0!</v>
      </c>
      <c r="Z905" s="2">
        <v>0</v>
      </c>
      <c r="AA905" s="2">
        <v>0</v>
      </c>
      <c r="AB905" s="2">
        <v>0</v>
      </c>
      <c r="AC905" s="2">
        <v>0</v>
      </c>
    </row>
    <row r="906" spans="1:29" x14ac:dyDescent="0.35">
      <c r="A906" s="1" t="s">
        <v>933</v>
      </c>
      <c r="B906" s="1" t="s">
        <v>934</v>
      </c>
      <c r="C906">
        <f>D906+E906+F906+G906+H906+I906</f>
        <v>7</v>
      </c>
      <c r="D906" s="2">
        <v>0</v>
      </c>
      <c r="E906" s="2">
        <v>6</v>
      </c>
      <c r="F906" s="2">
        <v>1</v>
      </c>
      <c r="G906" s="2">
        <v>0</v>
      </c>
      <c r="H906" s="2">
        <v>0</v>
      </c>
      <c r="I906" s="2">
        <v>0</v>
      </c>
      <c r="J906" s="2">
        <v>7</v>
      </c>
      <c r="K906">
        <f>J906+L906</f>
        <v>7</v>
      </c>
      <c r="L906" s="2">
        <v>0</v>
      </c>
      <c r="M906" s="2">
        <v>0</v>
      </c>
      <c r="N906" s="2">
        <v>47</v>
      </c>
      <c r="O906" s="3">
        <f>N906/J906</f>
        <v>6.7142857142857144</v>
      </c>
      <c r="P906" s="2">
        <v>0</v>
      </c>
      <c r="Q906" s="2">
        <v>0</v>
      </c>
      <c r="R906" s="2">
        <v>19</v>
      </c>
      <c r="S906" s="2">
        <v>43</v>
      </c>
      <c r="T906" s="2">
        <v>8</v>
      </c>
      <c r="U906" s="2">
        <v>9</v>
      </c>
      <c r="V906" s="2">
        <v>123</v>
      </c>
      <c r="W906" s="3">
        <f>V906/S906</f>
        <v>2.86046511627907</v>
      </c>
      <c r="X906" s="3">
        <f>V906/U906</f>
        <v>13.666666666666666</v>
      </c>
      <c r="Y906" s="4">
        <f>S906*6/U906</f>
        <v>28.666666666666668</v>
      </c>
      <c r="Z906" s="2">
        <v>4</v>
      </c>
      <c r="AA906" s="2">
        <v>0</v>
      </c>
      <c r="AB906" s="2">
        <v>0</v>
      </c>
      <c r="AC906" s="2">
        <v>0</v>
      </c>
    </row>
    <row r="907" spans="1:29" x14ac:dyDescent="0.35">
      <c r="A907" s="1" t="s">
        <v>935</v>
      </c>
      <c r="B907" s="1" t="s">
        <v>936</v>
      </c>
      <c r="C907">
        <f>D907+E907+F907+G907+H907+I907</f>
        <v>37</v>
      </c>
      <c r="D907" s="2">
        <v>32</v>
      </c>
      <c r="E907" s="2">
        <v>1</v>
      </c>
      <c r="F907" s="2">
        <v>3</v>
      </c>
      <c r="G907" s="2">
        <v>0</v>
      </c>
      <c r="H907" s="2">
        <v>1</v>
      </c>
      <c r="I907" s="2">
        <v>0</v>
      </c>
      <c r="J907" s="2">
        <v>27</v>
      </c>
      <c r="K907">
        <f>J907+L907</f>
        <v>29</v>
      </c>
      <c r="L907" s="2">
        <v>2</v>
      </c>
      <c r="M907" s="2">
        <v>10</v>
      </c>
      <c r="N907" s="2">
        <v>596</v>
      </c>
      <c r="O907" s="3">
        <f>N907/J907</f>
        <v>22.074074074074073</v>
      </c>
      <c r="P907" s="2">
        <v>1</v>
      </c>
      <c r="Q907" s="2">
        <v>0</v>
      </c>
      <c r="R907" s="2">
        <v>85</v>
      </c>
      <c r="S907" s="2">
        <v>281</v>
      </c>
      <c r="T907" s="2">
        <v>75</v>
      </c>
      <c r="U907" s="2">
        <v>38</v>
      </c>
      <c r="V907" s="2">
        <v>598</v>
      </c>
      <c r="W907" s="3">
        <f>V907/S907</f>
        <v>2.1281138790035588</v>
      </c>
      <c r="X907" s="3">
        <f>V907/U907</f>
        <v>15.736842105263158</v>
      </c>
      <c r="Y907" s="4">
        <f>S907*6/U907</f>
        <v>44.368421052631582</v>
      </c>
      <c r="Z907" s="2">
        <v>4</v>
      </c>
      <c r="AA907" s="2">
        <v>0</v>
      </c>
      <c r="AB907" s="2">
        <v>0</v>
      </c>
      <c r="AC907" s="2">
        <v>15</v>
      </c>
    </row>
    <row r="908" spans="1:29" x14ac:dyDescent="0.35">
      <c r="A908" s="1" t="s">
        <v>937</v>
      </c>
      <c r="B908" s="1" t="s">
        <v>156</v>
      </c>
      <c r="C908">
        <f>D908+E908+F908+G908+H908+I908</f>
        <v>38</v>
      </c>
      <c r="D908" s="2">
        <v>17</v>
      </c>
      <c r="E908" s="2">
        <v>9</v>
      </c>
      <c r="F908" s="2">
        <v>11</v>
      </c>
      <c r="G908" s="2">
        <v>1</v>
      </c>
      <c r="H908" s="2">
        <v>0</v>
      </c>
      <c r="I908" s="2">
        <v>0</v>
      </c>
      <c r="J908" s="2">
        <v>43</v>
      </c>
      <c r="K908">
        <f>J908+L908</f>
        <v>48</v>
      </c>
      <c r="L908" s="2">
        <v>5</v>
      </c>
      <c r="M908" s="2">
        <v>3</v>
      </c>
      <c r="N908" s="2">
        <v>783</v>
      </c>
      <c r="O908" s="3">
        <f>N908/J908</f>
        <v>18.209302325581394</v>
      </c>
      <c r="P908" s="2">
        <v>4</v>
      </c>
      <c r="Q908" s="2">
        <v>0</v>
      </c>
      <c r="R908" s="2">
        <v>75</v>
      </c>
      <c r="S908" s="2">
        <v>9</v>
      </c>
      <c r="T908" s="2">
        <v>0</v>
      </c>
      <c r="U908" s="2">
        <v>0</v>
      </c>
      <c r="V908" s="2">
        <v>71</v>
      </c>
      <c r="W908" s="3">
        <f>V908/S908</f>
        <v>7.8888888888888893</v>
      </c>
      <c r="X908" s="3" t="e">
        <f>V908/U908</f>
        <v>#DIV/0!</v>
      </c>
      <c r="Y908" s="4" t="e">
        <f>S908*6/U908</f>
        <v>#DIV/0!</v>
      </c>
      <c r="Z908" s="2">
        <v>0</v>
      </c>
      <c r="AA908" s="2">
        <v>0</v>
      </c>
      <c r="AB908" s="2">
        <v>0</v>
      </c>
      <c r="AC908" s="2">
        <v>20</v>
      </c>
    </row>
    <row r="909" spans="1:29" x14ac:dyDescent="0.35">
      <c r="A909" s="1" t="s">
        <v>937</v>
      </c>
      <c r="B909" s="1" t="s">
        <v>94</v>
      </c>
      <c r="C909">
        <f>D909+E909+F909+G909+H909+I909</f>
        <v>1</v>
      </c>
      <c r="D909" s="2">
        <v>1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J909" s="2">
        <v>1</v>
      </c>
      <c r="K909">
        <f>J909+L909</f>
        <v>1</v>
      </c>
      <c r="L909" s="2">
        <v>0</v>
      </c>
      <c r="M909" s="2">
        <v>0</v>
      </c>
      <c r="N909" s="2">
        <v>2</v>
      </c>
      <c r="O909" s="3">
        <f>N909/J909</f>
        <v>2</v>
      </c>
      <c r="P909" s="2">
        <v>0</v>
      </c>
      <c r="Q909" s="2">
        <v>0</v>
      </c>
      <c r="R909" s="2">
        <v>2</v>
      </c>
      <c r="S909" s="2">
        <v>0</v>
      </c>
      <c r="T909" s="2">
        <v>0</v>
      </c>
      <c r="U909" s="2">
        <v>0</v>
      </c>
      <c r="V909" s="2">
        <v>0</v>
      </c>
      <c r="W909" s="3" t="e">
        <f>V909/S909</f>
        <v>#DIV/0!</v>
      </c>
      <c r="X909" s="3" t="e">
        <f>V909/U909</f>
        <v>#DIV/0!</v>
      </c>
      <c r="Y909" s="4" t="e">
        <f>S909*6/U909</f>
        <v>#DIV/0!</v>
      </c>
      <c r="Z909" s="2">
        <v>0</v>
      </c>
      <c r="AA909" s="2">
        <v>0</v>
      </c>
      <c r="AB909" s="2">
        <v>0</v>
      </c>
      <c r="AC909" s="2">
        <v>0</v>
      </c>
    </row>
    <row r="910" spans="1:29" x14ac:dyDescent="0.35">
      <c r="A910" s="1" t="s">
        <v>938</v>
      </c>
      <c r="B910" s="1" t="s">
        <v>939</v>
      </c>
      <c r="C910">
        <f>D910+E910+F910+G910+H910+I910</f>
        <v>89</v>
      </c>
      <c r="D910" s="2">
        <v>12</v>
      </c>
      <c r="E910" s="2">
        <v>0</v>
      </c>
      <c r="F910" s="2">
        <v>6</v>
      </c>
      <c r="G910" s="2">
        <v>30</v>
      </c>
      <c r="H910" s="2">
        <v>35</v>
      </c>
      <c r="I910" s="2">
        <v>6</v>
      </c>
      <c r="J910" s="2">
        <v>42</v>
      </c>
      <c r="K910">
        <f>J910+L910</f>
        <v>64</v>
      </c>
      <c r="L910" s="2">
        <v>22</v>
      </c>
      <c r="M910" s="2">
        <v>38</v>
      </c>
      <c r="N910" s="2">
        <v>799</v>
      </c>
      <c r="O910" s="3">
        <f>N910/J910</f>
        <v>19.023809523809526</v>
      </c>
      <c r="P910" s="2">
        <v>2</v>
      </c>
      <c r="Q910" s="2">
        <v>0</v>
      </c>
      <c r="R910" s="2">
        <v>73</v>
      </c>
      <c r="S910" s="2">
        <v>995</v>
      </c>
      <c r="T910" s="2">
        <v>225</v>
      </c>
      <c r="U910" s="2">
        <v>162</v>
      </c>
      <c r="V910" s="2">
        <v>2670</v>
      </c>
      <c r="W910" s="3">
        <f>V910/S910</f>
        <v>2.6834170854271355</v>
      </c>
      <c r="X910" s="3">
        <f>V910/U910</f>
        <v>16.481481481481481</v>
      </c>
      <c r="Y910" s="4">
        <f>S910*6/U910</f>
        <v>36.851851851851855</v>
      </c>
      <c r="Z910" s="2">
        <v>6</v>
      </c>
      <c r="AA910" s="2">
        <v>2</v>
      </c>
      <c r="AB910" s="2">
        <v>0</v>
      </c>
      <c r="AC910" s="2">
        <v>17</v>
      </c>
    </row>
    <row r="911" spans="1:29" x14ac:dyDescent="0.35">
      <c r="A911" s="1" t="s">
        <v>940</v>
      </c>
      <c r="B911" s="1" t="s">
        <v>281</v>
      </c>
      <c r="C911">
        <f>D911+E911+F911+G911+H911+I911</f>
        <v>20</v>
      </c>
      <c r="D911" s="2">
        <v>0</v>
      </c>
      <c r="E911" s="2">
        <v>0</v>
      </c>
      <c r="F911" s="2">
        <v>1</v>
      </c>
      <c r="G911" s="2">
        <v>8</v>
      </c>
      <c r="H911" s="2">
        <v>9</v>
      </c>
      <c r="I911" s="2">
        <v>2</v>
      </c>
      <c r="J911" s="2">
        <v>13</v>
      </c>
      <c r="K911">
        <f>J911+L911</f>
        <v>15</v>
      </c>
      <c r="L911" s="2">
        <v>2</v>
      </c>
      <c r="M911" s="2">
        <v>6</v>
      </c>
      <c r="N911" s="2">
        <v>164</v>
      </c>
      <c r="O911" s="3">
        <f>N911/J911</f>
        <v>12.615384615384615</v>
      </c>
      <c r="P911" s="2">
        <v>0</v>
      </c>
      <c r="Q911" s="2">
        <v>0</v>
      </c>
      <c r="R911" s="2">
        <v>33</v>
      </c>
      <c r="S911" s="2">
        <v>129</v>
      </c>
      <c r="T911" s="2">
        <v>17</v>
      </c>
      <c r="U911" s="2">
        <v>22</v>
      </c>
      <c r="V911" s="2">
        <v>461</v>
      </c>
      <c r="W911" s="3">
        <f>V911/S911</f>
        <v>3.5736434108527133</v>
      </c>
      <c r="X911" s="3">
        <f>V911/U911</f>
        <v>20.954545454545453</v>
      </c>
      <c r="Y911" s="4">
        <f>S911*6/U911</f>
        <v>35.18181818181818</v>
      </c>
      <c r="Z911" s="2">
        <v>7</v>
      </c>
      <c r="AA911" s="2">
        <v>2</v>
      </c>
      <c r="AB911" s="2">
        <v>0</v>
      </c>
      <c r="AC911" s="2">
        <v>5</v>
      </c>
    </row>
    <row r="912" spans="1:29" x14ac:dyDescent="0.35">
      <c r="A912" s="1" t="s">
        <v>940</v>
      </c>
      <c r="B912" s="1" t="s">
        <v>941</v>
      </c>
      <c r="C912">
        <f>D912+E912+F912+G912+H912+I912</f>
        <v>7</v>
      </c>
      <c r="D912" s="2">
        <v>7</v>
      </c>
      <c r="E912" s="2">
        <v>0</v>
      </c>
      <c r="F912" s="2">
        <v>0</v>
      </c>
      <c r="G912" s="2">
        <v>0</v>
      </c>
      <c r="H912" s="2">
        <v>0</v>
      </c>
      <c r="I912" s="2">
        <v>0</v>
      </c>
      <c r="J912" s="2">
        <v>6</v>
      </c>
      <c r="K912">
        <f>J912+L912</f>
        <v>6</v>
      </c>
      <c r="L912" s="2">
        <v>0</v>
      </c>
      <c r="M912" s="2">
        <v>2</v>
      </c>
      <c r="N912" s="2">
        <v>33</v>
      </c>
      <c r="O912" s="3">
        <f>N912/J912</f>
        <v>5.5</v>
      </c>
      <c r="P912" s="2">
        <v>0</v>
      </c>
      <c r="Q912" s="2">
        <v>0</v>
      </c>
      <c r="R912" s="2">
        <v>17</v>
      </c>
      <c r="S912" s="2">
        <v>81</v>
      </c>
      <c r="T912" s="2">
        <v>27</v>
      </c>
      <c r="U912" s="2">
        <v>9</v>
      </c>
      <c r="V912" s="2">
        <v>185</v>
      </c>
      <c r="W912" s="3">
        <f>V912/S912</f>
        <v>2.2839506172839505</v>
      </c>
      <c r="X912" s="3">
        <f>V912/U912</f>
        <v>20.555555555555557</v>
      </c>
      <c r="Y912" s="4">
        <f>S912*6/U912</f>
        <v>54</v>
      </c>
      <c r="Z912" s="2">
        <v>4</v>
      </c>
      <c r="AA912" s="2">
        <v>0</v>
      </c>
      <c r="AB912" s="2">
        <v>0</v>
      </c>
      <c r="AC912" s="2">
        <v>2</v>
      </c>
    </row>
    <row r="913" spans="1:29" x14ac:dyDescent="0.35">
      <c r="A913" s="1" t="s">
        <v>940</v>
      </c>
      <c r="B913" s="1" t="s">
        <v>803</v>
      </c>
      <c r="C913">
        <f>D913+E913+F913+G913+H913+I913</f>
        <v>3</v>
      </c>
      <c r="D913" s="2">
        <v>0</v>
      </c>
      <c r="E913" s="2">
        <v>0</v>
      </c>
      <c r="F913" s="2">
        <v>2</v>
      </c>
      <c r="G913" s="2">
        <v>1</v>
      </c>
      <c r="H913" s="2">
        <v>0</v>
      </c>
      <c r="I913" s="2">
        <v>0</v>
      </c>
      <c r="J913" s="2">
        <v>1</v>
      </c>
      <c r="K913">
        <f>J913+L913</f>
        <v>1</v>
      </c>
      <c r="L913" s="2">
        <v>0</v>
      </c>
      <c r="M913" s="2">
        <v>2</v>
      </c>
      <c r="N913" s="2">
        <v>0</v>
      </c>
      <c r="O913" s="3">
        <f>N913/J913</f>
        <v>0</v>
      </c>
      <c r="P913" s="2">
        <v>0</v>
      </c>
      <c r="Q913" s="2">
        <v>0</v>
      </c>
      <c r="R913" s="2">
        <v>0</v>
      </c>
      <c r="S913" s="2">
        <v>6</v>
      </c>
      <c r="T913" s="2">
        <v>0</v>
      </c>
      <c r="U913" s="2">
        <v>1</v>
      </c>
      <c r="V913" s="2">
        <v>42</v>
      </c>
      <c r="W913" s="3">
        <f>V913/S913</f>
        <v>7</v>
      </c>
      <c r="X913" s="3">
        <f>V913/U913</f>
        <v>42</v>
      </c>
      <c r="Y913" s="4">
        <f>S913*6/U913</f>
        <v>36</v>
      </c>
      <c r="Z913" s="2">
        <v>1</v>
      </c>
      <c r="AA913" s="2">
        <v>0</v>
      </c>
      <c r="AB913" s="2">
        <v>0</v>
      </c>
      <c r="AC913" s="2">
        <v>0</v>
      </c>
    </row>
    <row r="914" spans="1:29" x14ac:dyDescent="0.35">
      <c r="A914" s="1" t="s">
        <v>940</v>
      </c>
      <c r="B914" s="1" t="s">
        <v>30</v>
      </c>
      <c r="C914">
        <f>D914+E914+F914+G914+H914+I914</f>
        <v>1</v>
      </c>
      <c r="D914" s="2">
        <v>0</v>
      </c>
      <c r="E914" s="2">
        <v>0</v>
      </c>
      <c r="F914" s="2">
        <v>0</v>
      </c>
      <c r="G914" s="2">
        <v>1</v>
      </c>
      <c r="H914" s="2">
        <v>0</v>
      </c>
      <c r="I914" s="2">
        <v>0</v>
      </c>
      <c r="J914" s="2">
        <v>1</v>
      </c>
      <c r="K914">
        <f>J914+L914</f>
        <v>1</v>
      </c>
      <c r="L914" s="2">
        <v>0</v>
      </c>
      <c r="M914" s="2">
        <v>0</v>
      </c>
      <c r="N914" s="2">
        <v>0</v>
      </c>
      <c r="O914" s="3">
        <f>N914/J914</f>
        <v>0</v>
      </c>
      <c r="P914" s="2">
        <v>0</v>
      </c>
      <c r="Q914" s="2">
        <v>0</v>
      </c>
      <c r="R914" s="2">
        <v>0</v>
      </c>
      <c r="S914" s="2">
        <v>6</v>
      </c>
      <c r="T914" s="2">
        <v>0</v>
      </c>
      <c r="U914" s="2">
        <v>1</v>
      </c>
      <c r="V914" s="2">
        <v>30</v>
      </c>
      <c r="W914" s="3">
        <f>V914/S914</f>
        <v>5</v>
      </c>
      <c r="X914" s="3">
        <f>V914/U914</f>
        <v>30</v>
      </c>
      <c r="Y914" s="4">
        <f>S914*6/U914</f>
        <v>36</v>
      </c>
      <c r="Z914" s="2">
        <v>1</v>
      </c>
      <c r="AA914" s="2">
        <v>0</v>
      </c>
      <c r="AB914" s="2">
        <v>0</v>
      </c>
      <c r="AC914" s="2">
        <v>0</v>
      </c>
    </row>
    <row r="915" spans="1:29" x14ac:dyDescent="0.35">
      <c r="A915" s="1" t="s">
        <v>940</v>
      </c>
      <c r="B915" s="1" t="s">
        <v>942</v>
      </c>
      <c r="C915">
        <f>D915+E915+F915+G915+H915+I915</f>
        <v>2</v>
      </c>
      <c r="D915" s="2">
        <v>0</v>
      </c>
      <c r="E915" s="2">
        <v>0</v>
      </c>
      <c r="F915" s="2">
        <v>0</v>
      </c>
      <c r="G915" s="2">
        <v>1</v>
      </c>
      <c r="H915" s="2">
        <v>1</v>
      </c>
      <c r="I915" s="2">
        <v>0</v>
      </c>
      <c r="J915" s="2">
        <v>0</v>
      </c>
      <c r="K915">
        <f>J915+L915</f>
        <v>1</v>
      </c>
      <c r="L915" s="2">
        <v>1</v>
      </c>
      <c r="M915" s="2">
        <v>1</v>
      </c>
      <c r="N915" s="2">
        <v>1</v>
      </c>
      <c r="O915" s="3" t="e">
        <f>N915/J915</f>
        <v>#DIV/0!</v>
      </c>
      <c r="P915" s="2">
        <v>0</v>
      </c>
      <c r="Q915" s="2">
        <v>0</v>
      </c>
      <c r="R915" s="2">
        <v>1</v>
      </c>
      <c r="S915" s="2">
        <v>6</v>
      </c>
      <c r="T915" s="2">
        <v>0</v>
      </c>
      <c r="U915" s="2">
        <v>0</v>
      </c>
      <c r="V915" s="2">
        <v>34</v>
      </c>
      <c r="W915" s="3">
        <f>V915/S915</f>
        <v>5.666666666666667</v>
      </c>
      <c r="X915" s="3" t="e">
        <f>V915/U915</f>
        <v>#DIV/0!</v>
      </c>
      <c r="Y915" s="4" t="e">
        <f>S915*6/U915</f>
        <v>#DIV/0!</v>
      </c>
      <c r="Z915" s="2">
        <v>0</v>
      </c>
      <c r="AA915" s="2">
        <v>0</v>
      </c>
      <c r="AB915" s="2">
        <v>0</v>
      </c>
      <c r="AC915" s="2">
        <v>0</v>
      </c>
    </row>
    <row r="916" spans="1:29" x14ac:dyDescent="0.35">
      <c r="A916" s="1" t="s">
        <v>943</v>
      </c>
      <c r="B916" s="1" t="s">
        <v>944</v>
      </c>
      <c r="C916">
        <f>D916+E916+F916+G916+H916+I916</f>
        <v>29</v>
      </c>
      <c r="D916" s="2">
        <v>0</v>
      </c>
      <c r="E916" s="2">
        <v>0</v>
      </c>
      <c r="F916" s="2">
        <v>1</v>
      </c>
      <c r="G916" s="2">
        <v>19</v>
      </c>
      <c r="H916" s="2">
        <v>5</v>
      </c>
      <c r="I916" s="2">
        <v>4</v>
      </c>
      <c r="J916" s="2">
        <v>23</v>
      </c>
      <c r="K916">
        <f>J916+L916</f>
        <v>28</v>
      </c>
      <c r="L916" s="2">
        <v>5</v>
      </c>
      <c r="M916" s="2">
        <v>2</v>
      </c>
      <c r="N916" s="2">
        <v>696</v>
      </c>
      <c r="O916" s="3">
        <f>N916/J916</f>
        <v>30.260869565217391</v>
      </c>
      <c r="P916" s="2">
        <v>2</v>
      </c>
      <c r="Q916" s="2">
        <v>1</v>
      </c>
      <c r="R916" s="2">
        <v>116</v>
      </c>
      <c r="S916" s="2">
        <v>9</v>
      </c>
      <c r="T916" s="2">
        <v>0</v>
      </c>
      <c r="U916" s="2">
        <v>1</v>
      </c>
      <c r="V916" s="2">
        <v>58</v>
      </c>
      <c r="W916" s="3">
        <f>V916/S916</f>
        <v>6.4444444444444446</v>
      </c>
      <c r="X916" s="3">
        <f>V916/U916</f>
        <v>58</v>
      </c>
      <c r="Y916" s="4">
        <f>S916*6/U916</f>
        <v>54</v>
      </c>
      <c r="Z916" s="2">
        <v>1</v>
      </c>
      <c r="AA916" s="2">
        <v>0</v>
      </c>
      <c r="AB916" s="2">
        <v>0</v>
      </c>
      <c r="AC916" s="2">
        <v>0</v>
      </c>
    </row>
    <row r="917" spans="1:29" x14ac:dyDescent="0.35">
      <c r="A917" s="1" t="s">
        <v>943</v>
      </c>
      <c r="B917" s="1" t="s">
        <v>945</v>
      </c>
      <c r="C917">
        <f>D917+E917+F917+G917+H917+I917</f>
        <v>4</v>
      </c>
      <c r="D917" s="2">
        <v>0</v>
      </c>
      <c r="E917" s="2">
        <v>0</v>
      </c>
      <c r="F917" s="2">
        <v>0</v>
      </c>
      <c r="G917" s="2">
        <v>1</v>
      </c>
      <c r="H917" s="2">
        <v>3</v>
      </c>
      <c r="I917" s="2">
        <v>0</v>
      </c>
      <c r="J917" s="2">
        <v>3</v>
      </c>
      <c r="K917">
        <f>J917+L917</f>
        <v>4</v>
      </c>
      <c r="L917" s="2">
        <v>1</v>
      </c>
      <c r="M917" s="2">
        <v>0</v>
      </c>
      <c r="N917" s="2">
        <v>59</v>
      </c>
      <c r="O917" s="3">
        <f>N917/J917</f>
        <v>19.666666666666668</v>
      </c>
      <c r="P917" s="2">
        <v>0</v>
      </c>
      <c r="Q917" s="2">
        <v>0</v>
      </c>
      <c r="R917" s="2">
        <v>49</v>
      </c>
      <c r="S917" s="2">
        <v>0</v>
      </c>
      <c r="T917" s="2">
        <v>0</v>
      </c>
      <c r="U917" s="2">
        <v>0</v>
      </c>
      <c r="V917" s="2">
        <v>0</v>
      </c>
      <c r="W917" s="3" t="e">
        <f>V917/S917</f>
        <v>#DIV/0!</v>
      </c>
      <c r="X917" s="3" t="e">
        <f>V917/U917</f>
        <v>#DIV/0!</v>
      </c>
      <c r="Y917" s="4" t="e">
        <f>S917*6/U917</f>
        <v>#DIV/0!</v>
      </c>
      <c r="Z917" s="2">
        <v>0</v>
      </c>
      <c r="AA917" s="2">
        <v>0</v>
      </c>
      <c r="AB917" s="2">
        <v>0</v>
      </c>
      <c r="AC917" s="2">
        <v>0</v>
      </c>
    </row>
    <row r="918" spans="1:29" ht="29" x14ac:dyDescent="0.35">
      <c r="A918" s="1" t="s">
        <v>946</v>
      </c>
      <c r="B918" s="1" t="s">
        <v>947</v>
      </c>
      <c r="C918">
        <f>D918+E918+F918+G918+H918+I918</f>
        <v>15</v>
      </c>
      <c r="D918" s="2">
        <v>13</v>
      </c>
      <c r="E918" s="2">
        <v>2</v>
      </c>
      <c r="F918" s="2">
        <v>0</v>
      </c>
      <c r="G918" s="2">
        <v>0</v>
      </c>
      <c r="H918" s="2">
        <v>0</v>
      </c>
      <c r="I918" s="2">
        <v>0</v>
      </c>
      <c r="J918" s="2">
        <v>6</v>
      </c>
      <c r="K918">
        <f>J918+L918</f>
        <v>10</v>
      </c>
      <c r="L918" s="2">
        <v>4</v>
      </c>
      <c r="M918" s="2">
        <v>4</v>
      </c>
      <c r="N918" s="2">
        <v>78</v>
      </c>
      <c r="O918" s="3">
        <f>N918/J918</f>
        <v>13</v>
      </c>
      <c r="P918" s="2">
        <v>0</v>
      </c>
      <c r="Q918" s="2">
        <v>0</v>
      </c>
      <c r="R918" s="2">
        <v>15</v>
      </c>
      <c r="S918" s="2">
        <v>106</v>
      </c>
      <c r="T918" s="2">
        <v>22</v>
      </c>
      <c r="U918" s="2">
        <v>15</v>
      </c>
      <c r="V918" s="2">
        <v>308</v>
      </c>
      <c r="W918" s="3">
        <f>V918/S918</f>
        <v>2.9056603773584904</v>
      </c>
      <c r="X918" s="3">
        <f>V918/U918</f>
        <v>20.533333333333335</v>
      </c>
      <c r="Y918" s="4">
        <f>S918*6/U918</f>
        <v>42.4</v>
      </c>
      <c r="Z918" s="2">
        <v>3</v>
      </c>
      <c r="AA918" s="2">
        <v>0</v>
      </c>
      <c r="AB918" s="2">
        <v>0</v>
      </c>
      <c r="AC918" s="2">
        <v>7</v>
      </c>
    </row>
    <row r="919" spans="1:29" x14ac:dyDescent="0.35">
      <c r="A919" s="1" t="s">
        <v>948</v>
      </c>
      <c r="B919" s="1" t="s">
        <v>949</v>
      </c>
      <c r="C919">
        <f>D919+E919+F919+G919+H919+I919</f>
        <v>3</v>
      </c>
      <c r="D919" s="2">
        <v>3</v>
      </c>
      <c r="E919" s="2">
        <v>0</v>
      </c>
      <c r="F919" s="2">
        <v>0</v>
      </c>
      <c r="G919" s="2">
        <v>0</v>
      </c>
      <c r="H919" s="2">
        <v>0</v>
      </c>
      <c r="I919" s="2">
        <v>0</v>
      </c>
      <c r="J919" s="2">
        <v>3</v>
      </c>
      <c r="K919">
        <f>J919+L919</f>
        <v>3</v>
      </c>
      <c r="L919" s="2">
        <v>0</v>
      </c>
      <c r="M919" s="2">
        <v>0</v>
      </c>
      <c r="N919" s="2">
        <v>14</v>
      </c>
      <c r="O919" s="3">
        <f>N919/J919</f>
        <v>4.666666666666667</v>
      </c>
      <c r="P919" s="2">
        <v>0</v>
      </c>
      <c r="Q919" s="2">
        <v>0</v>
      </c>
      <c r="R919" s="2">
        <v>9</v>
      </c>
      <c r="S919" s="2">
        <v>18</v>
      </c>
      <c r="T919" s="2">
        <v>2</v>
      </c>
      <c r="U919" s="2">
        <v>5</v>
      </c>
      <c r="V919" s="2">
        <v>83</v>
      </c>
      <c r="W919" s="3">
        <f>V919/S919</f>
        <v>4.6111111111111107</v>
      </c>
      <c r="X919" s="3">
        <f>V919/U919</f>
        <v>16.600000000000001</v>
      </c>
      <c r="Y919" s="4">
        <f>S919*6/U919</f>
        <v>21.6</v>
      </c>
      <c r="Z919" s="2">
        <v>3</v>
      </c>
      <c r="AA919" s="2">
        <v>0</v>
      </c>
      <c r="AB919" s="2">
        <v>0</v>
      </c>
      <c r="AC919" s="2">
        <v>1</v>
      </c>
    </row>
    <row r="920" spans="1:29" x14ac:dyDescent="0.35">
      <c r="A920" s="1" t="s">
        <v>950</v>
      </c>
      <c r="B920" s="1" t="s">
        <v>87</v>
      </c>
      <c r="C920">
        <f>D920+E920+F920+G920+H920+I920</f>
        <v>19</v>
      </c>
      <c r="D920" s="2">
        <v>0</v>
      </c>
      <c r="E920" s="2">
        <v>0</v>
      </c>
      <c r="F920" s="2">
        <v>1</v>
      </c>
      <c r="G920" s="2">
        <v>4</v>
      </c>
      <c r="H920" s="2">
        <v>12</v>
      </c>
      <c r="I920" s="2">
        <v>2</v>
      </c>
      <c r="J920" s="2">
        <v>14</v>
      </c>
      <c r="K920">
        <f>J920+L920</f>
        <v>17</v>
      </c>
      <c r="L920" s="2">
        <v>3</v>
      </c>
      <c r="M920" s="2">
        <v>5</v>
      </c>
      <c r="N920" s="2">
        <v>167</v>
      </c>
      <c r="O920" s="3">
        <f>N920/J920</f>
        <v>11.928571428571429</v>
      </c>
      <c r="P920" s="2">
        <v>0</v>
      </c>
      <c r="Q920" s="2">
        <v>0</v>
      </c>
      <c r="R920" s="2">
        <v>39</v>
      </c>
      <c r="S920" s="2">
        <v>10</v>
      </c>
      <c r="T920" s="2">
        <v>0</v>
      </c>
      <c r="U920" s="2">
        <v>1</v>
      </c>
      <c r="V920" s="2">
        <v>28</v>
      </c>
      <c r="W920" s="3">
        <f>V920/S920</f>
        <v>2.8</v>
      </c>
      <c r="X920" s="3">
        <f>V920/U920</f>
        <v>28</v>
      </c>
      <c r="Y920" s="4">
        <f>S920*6/U920</f>
        <v>60</v>
      </c>
      <c r="Z920" s="2">
        <v>1</v>
      </c>
      <c r="AA920" s="2">
        <v>0</v>
      </c>
      <c r="AB920" s="2">
        <v>0</v>
      </c>
      <c r="AC920" s="2">
        <v>0</v>
      </c>
    </row>
    <row r="921" spans="1:29" x14ac:dyDescent="0.35">
      <c r="A921" s="1" t="s">
        <v>951</v>
      </c>
      <c r="B921" s="1" t="s">
        <v>97</v>
      </c>
      <c r="C921">
        <f>D921+E921+F921+G921+H921+I921</f>
        <v>10</v>
      </c>
      <c r="D921" s="2">
        <v>0</v>
      </c>
      <c r="E921" s="2">
        <v>0</v>
      </c>
      <c r="F921" s="2">
        <v>7</v>
      </c>
      <c r="G921" s="2">
        <v>3</v>
      </c>
      <c r="H921" s="2">
        <v>0</v>
      </c>
      <c r="I921" s="2">
        <v>0</v>
      </c>
      <c r="J921" s="2">
        <v>9</v>
      </c>
      <c r="K921">
        <f>J921+L921</f>
        <v>10</v>
      </c>
      <c r="L921" s="2">
        <v>1</v>
      </c>
      <c r="M921" s="2">
        <v>1</v>
      </c>
      <c r="N921" s="2">
        <v>39</v>
      </c>
      <c r="O921" s="3">
        <f>N921/J921</f>
        <v>4.333333333333333</v>
      </c>
      <c r="P921" s="2">
        <v>0</v>
      </c>
      <c r="Q921" s="2">
        <v>0</v>
      </c>
      <c r="R921" s="2">
        <v>21</v>
      </c>
      <c r="S921" s="2">
        <v>9</v>
      </c>
      <c r="T921" s="2">
        <v>1</v>
      </c>
      <c r="U921" s="2">
        <v>3</v>
      </c>
      <c r="V921" s="2">
        <v>36</v>
      </c>
      <c r="W921" s="3">
        <f>V921/S921</f>
        <v>4</v>
      </c>
      <c r="X921" s="3">
        <f>V921/U921</f>
        <v>12</v>
      </c>
      <c r="Y921" s="4">
        <f>S921*6/U921</f>
        <v>18</v>
      </c>
      <c r="Z921" s="2">
        <v>3</v>
      </c>
      <c r="AA921" s="2">
        <v>0</v>
      </c>
      <c r="AB921" s="2">
        <v>0</v>
      </c>
      <c r="AC921" s="2">
        <v>1</v>
      </c>
    </row>
    <row r="922" spans="1:29" x14ac:dyDescent="0.35">
      <c r="A922" s="1" t="s">
        <v>952</v>
      </c>
      <c r="B922" s="1" t="s">
        <v>156</v>
      </c>
      <c r="C922">
        <f>D922+E922+F922+G922+H922+I922</f>
        <v>90</v>
      </c>
      <c r="D922" s="2">
        <v>25</v>
      </c>
      <c r="E922" s="2">
        <v>33</v>
      </c>
      <c r="F922" s="2">
        <v>7</v>
      </c>
      <c r="G922" s="2">
        <v>19</v>
      </c>
      <c r="H922" s="2">
        <v>4</v>
      </c>
      <c r="I922" s="2">
        <v>2</v>
      </c>
      <c r="J922" s="2">
        <v>85</v>
      </c>
      <c r="K922">
        <f>J922+L922</f>
        <v>94</v>
      </c>
      <c r="L922" s="2">
        <v>9</v>
      </c>
      <c r="M922" s="2">
        <v>12</v>
      </c>
      <c r="N922" s="2">
        <v>1313</v>
      </c>
      <c r="O922" s="3">
        <f>N922/J922</f>
        <v>15.447058823529412</v>
      </c>
      <c r="P922" s="2">
        <v>2</v>
      </c>
      <c r="Q922" s="2">
        <v>2</v>
      </c>
      <c r="R922" s="2">
        <v>106</v>
      </c>
      <c r="S922" s="2">
        <v>230</v>
      </c>
      <c r="T922" s="2">
        <v>29</v>
      </c>
      <c r="U922" s="2">
        <v>28</v>
      </c>
      <c r="V922" s="2">
        <v>830</v>
      </c>
      <c r="W922" s="3">
        <f>V922/S922</f>
        <v>3.6086956521739131</v>
      </c>
      <c r="X922" s="3">
        <f>V922/U922</f>
        <v>29.642857142857142</v>
      </c>
      <c r="Y922" s="4">
        <f>S922*6/U922</f>
        <v>49.285714285714285</v>
      </c>
      <c r="Z922" s="2">
        <v>5</v>
      </c>
      <c r="AA922" s="2">
        <v>1</v>
      </c>
      <c r="AB922" s="2">
        <v>0</v>
      </c>
      <c r="AC922" s="2">
        <v>30</v>
      </c>
    </row>
    <row r="923" spans="1:29" x14ac:dyDescent="0.35">
      <c r="A923" s="1" t="s">
        <v>952</v>
      </c>
      <c r="B923" s="1" t="s">
        <v>583</v>
      </c>
      <c r="C923">
        <f>D923+E923+F923+G923+H923+I923</f>
        <v>34</v>
      </c>
      <c r="D923" s="2">
        <v>0</v>
      </c>
      <c r="E923" s="2">
        <v>0</v>
      </c>
      <c r="F923" s="2">
        <v>0</v>
      </c>
      <c r="G923" s="2">
        <v>1</v>
      </c>
      <c r="H923" s="2">
        <v>15</v>
      </c>
      <c r="I923" s="2">
        <v>18</v>
      </c>
      <c r="J923" s="2">
        <v>21</v>
      </c>
      <c r="K923">
        <f>J923+L923</f>
        <v>27</v>
      </c>
      <c r="L923" s="2">
        <v>6</v>
      </c>
      <c r="M923" s="2">
        <v>9</v>
      </c>
      <c r="N923" s="2">
        <v>347</v>
      </c>
      <c r="O923" s="3">
        <f>N923/J923</f>
        <v>16.523809523809526</v>
      </c>
      <c r="P923" s="2">
        <v>1</v>
      </c>
      <c r="Q923" s="2">
        <v>0</v>
      </c>
      <c r="R923" s="2">
        <v>72</v>
      </c>
      <c r="S923" s="2">
        <v>46</v>
      </c>
      <c r="T923" s="2">
        <v>1</v>
      </c>
      <c r="U923" s="2">
        <v>8</v>
      </c>
      <c r="V923" s="2">
        <v>263</v>
      </c>
      <c r="W923" s="3">
        <f>V923/S923</f>
        <v>5.7173913043478262</v>
      </c>
      <c r="X923" s="3">
        <f>V923/U923</f>
        <v>32.875</v>
      </c>
      <c r="Y923" s="4">
        <f>S923*6/U923</f>
        <v>34.5</v>
      </c>
      <c r="Z923" s="2">
        <v>2</v>
      </c>
      <c r="AA923" s="2">
        <v>0</v>
      </c>
      <c r="AB923" s="2">
        <v>0</v>
      </c>
      <c r="AC923" s="2">
        <v>10</v>
      </c>
    </row>
    <row r="924" spans="1:29" x14ac:dyDescent="0.35">
      <c r="A924" s="1" t="s">
        <v>952</v>
      </c>
      <c r="B924" s="1" t="s">
        <v>77</v>
      </c>
      <c r="C924">
        <f>D924+E924+F924+G924+H924+I924</f>
        <v>11</v>
      </c>
      <c r="D924" s="2">
        <v>7</v>
      </c>
      <c r="E924" s="2">
        <v>4</v>
      </c>
      <c r="F924" s="2">
        <v>0</v>
      </c>
      <c r="G924" s="2">
        <v>0</v>
      </c>
      <c r="H924" s="2">
        <v>0</v>
      </c>
      <c r="I924" s="2">
        <v>0</v>
      </c>
      <c r="J924" s="2">
        <v>8</v>
      </c>
      <c r="K924">
        <f>J924+L924</f>
        <v>9</v>
      </c>
      <c r="L924" s="2">
        <v>1</v>
      </c>
      <c r="M924" s="2">
        <v>1</v>
      </c>
      <c r="N924" s="2">
        <v>229</v>
      </c>
      <c r="O924" s="3">
        <f>N924/J924</f>
        <v>28.625</v>
      </c>
      <c r="P924" s="2">
        <v>1</v>
      </c>
      <c r="Q924" s="2">
        <v>0</v>
      </c>
      <c r="R924" s="2">
        <v>77</v>
      </c>
      <c r="S924" s="2">
        <v>3</v>
      </c>
      <c r="T924" s="2">
        <v>0</v>
      </c>
      <c r="U924" s="2">
        <v>0</v>
      </c>
      <c r="V924" s="2">
        <v>15</v>
      </c>
      <c r="W924" s="3">
        <f>V924/S924</f>
        <v>5</v>
      </c>
      <c r="X924" s="3" t="e">
        <f>V924/U924</f>
        <v>#DIV/0!</v>
      </c>
      <c r="Y924" s="4" t="e">
        <f>S924*6/U924</f>
        <v>#DIV/0!</v>
      </c>
      <c r="Z924" s="2">
        <v>0</v>
      </c>
      <c r="AA924" s="2">
        <v>0</v>
      </c>
      <c r="AB924" s="2">
        <v>0</v>
      </c>
      <c r="AC924" s="2">
        <v>3</v>
      </c>
    </row>
    <row r="925" spans="1:29" x14ac:dyDescent="0.35">
      <c r="A925" s="1" t="s">
        <v>952</v>
      </c>
      <c r="B925" s="1" t="s">
        <v>8</v>
      </c>
      <c r="C925">
        <f>D925+E925+F925+G925+H925+I925</f>
        <v>1</v>
      </c>
      <c r="D925" s="2">
        <v>0</v>
      </c>
      <c r="E925" s="2">
        <v>0</v>
      </c>
      <c r="F925" s="2">
        <v>0</v>
      </c>
      <c r="G925" s="2">
        <v>1</v>
      </c>
      <c r="H925" s="2">
        <v>0</v>
      </c>
      <c r="I925" s="2">
        <v>0</v>
      </c>
      <c r="J925" s="2">
        <v>1</v>
      </c>
      <c r="K925">
        <f>J925+L925</f>
        <v>1</v>
      </c>
      <c r="L925" s="2">
        <v>0</v>
      </c>
      <c r="M925" s="2">
        <v>1</v>
      </c>
      <c r="N925" s="2">
        <v>0</v>
      </c>
      <c r="O925" s="3">
        <f>N925/J925</f>
        <v>0</v>
      </c>
      <c r="P925" s="2">
        <v>0</v>
      </c>
      <c r="Q925" s="2">
        <v>0</v>
      </c>
      <c r="R925" s="2">
        <v>0</v>
      </c>
      <c r="S925" s="2">
        <v>4</v>
      </c>
      <c r="T925" s="2">
        <v>0</v>
      </c>
      <c r="U925" s="2">
        <v>1</v>
      </c>
      <c r="V925" s="2">
        <v>17</v>
      </c>
      <c r="W925" s="3">
        <f>V925/S925</f>
        <v>4.25</v>
      </c>
      <c r="X925" s="3">
        <f>V925/U925</f>
        <v>17</v>
      </c>
      <c r="Y925" s="4">
        <f>S925*6/U925</f>
        <v>24</v>
      </c>
      <c r="Z925" s="2">
        <v>1</v>
      </c>
      <c r="AA925" s="2">
        <v>0</v>
      </c>
      <c r="AB925" s="2">
        <v>0</v>
      </c>
      <c r="AC925" s="2">
        <v>1</v>
      </c>
    </row>
    <row r="926" spans="1:29" x14ac:dyDescent="0.35">
      <c r="A926" s="1" t="s">
        <v>953</v>
      </c>
      <c r="B926" s="1" t="s">
        <v>190</v>
      </c>
      <c r="C926">
        <f>D926+E926+F926+G926+H926+I926</f>
        <v>24</v>
      </c>
      <c r="D926" s="2">
        <v>0</v>
      </c>
      <c r="E926" s="2">
        <v>0</v>
      </c>
      <c r="F926" s="2">
        <v>8</v>
      </c>
      <c r="G926" s="2">
        <v>10</v>
      </c>
      <c r="H926" s="2">
        <v>6</v>
      </c>
      <c r="I926" s="2">
        <v>0</v>
      </c>
      <c r="J926" s="2">
        <v>20</v>
      </c>
      <c r="K926">
        <f>J926+L926</f>
        <v>22</v>
      </c>
      <c r="L926" s="2">
        <v>2</v>
      </c>
      <c r="M926" s="2">
        <v>4</v>
      </c>
      <c r="N926" s="2">
        <v>284</v>
      </c>
      <c r="O926" s="3">
        <f>N926/J926</f>
        <v>14.2</v>
      </c>
      <c r="P926" s="2">
        <v>1</v>
      </c>
      <c r="Q926" s="2">
        <v>0</v>
      </c>
      <c r="R926" s="2">
        <v>52</v>
      </c>
      <c r="S926" s="2">
        <v>109</v>
      </c>
      <c r="T926" s="2">
        <v>14</v>
      </c>
      <c r="U926" s="2">
        <v>15</v>
      </c>
      <c r="V926" s="2">
        <v>410</v>
      </c>
      <c r="W926" s="3">
        <f>V926/S926</f>
        <v>3.761467889908257</v>
      </c>
      <c r="X926" s="3">
        <f>V926/U926</f>
        <v>27.333333333333332</v>
      </c>
      <c r="Y926" s="4">
        <f>S926*6/U926</f>
        <v>43.6</v>
      </c>
      <c r="Z926" s="2">
        <v>3</v>
      </c>
      <c r="AA926" s="2">
        <v>0</v>
      </c>
      <c r="AB926" s="2">
        <v>0</v>
      </c>
      <c r="AC926" s="2">
        <v>2</v>
      </c>
    </row>
    <row r="927" spans="1:29" x14ac:dyDescent="0.35">
      <c r="A927" s="1" t="s">
        <v>954</v>
      </c>
      <c r="B927" s="7" t="s">
        <v>196</v>
      </c>
      <c r="C927">
        <f>D927+E927+F927+G927+H927+I927</f>
        <v>38</v>
      </c>
      <c r="D927" s="5">
        <v>0</v>
      </c>
      <c r="E927" s="5">
        <v>0</v>
      </c>
      <c r="F927" s="5">
        <v>5</v>
      </c>
      <c r="G927" s="5">
        <v>12</v>
      </c>
      <c r="H927" s="5">
        <v>21</v>
      </c>
      <c r="I927" s="5">
        <v>0</v>
      </c>
      <c r="J927" s="5">
        <v>26</v>
      </c>
      <c r="K927">
        <f>J927+L927</f>
        <v>32</v>
      </c>
      <c r="L927" s="5">
        <v>6</v>
      </c>
      <c r="M927" s="5">
        <v>6</v>
      </c>
      <c r="N927" s="5">
        <f>231+28</f>
        <v>259</v>
      </c>
      <c r="O927" s="3">
        <f>N927/J927</f>
        <v>9.9615384615384617</v>
      </c>
      <c r="P927" s="5">
        <v>0</v>
      </c>
      <c r="Q927" s="5">
        <v>0</v>
      </c>
      <c r="R927" s="40">
        <v>40</v>
      </c>
      <c r="S927" s="5">
        <f>55.1+52.1</f>
        <v>107.2</v>
      </c>
      <c r="T927" s="5">
        <v>3</v>
      </c>
      <c r="U927" s="5">
        <v>21</v>
      </c>
      <c r="V927" s="5">
        <f>291+193</f>
        <v>484</v>
      </c>
      <c r="W927" s="3">
        <f>V927/S927</f>
        <v>4.5149253731343286</v>
      </c>
      <c r="X927" s="3">
        <f>V927/U927</f>
        <v>23.047619047619047</v>
      </c>
      <c r="Y927" s="4">
        <f>S927*6/U927</f>
        <v>30.62857142857143</v>
      </c>
      <c r="Z927" s="35" t="s">
        <v>1328</v>
      </c>
      <c r="AA927" s="5">
        <v>0</v>
      </c>
      <c r="AB927" s="5">
        <v>0</v>
      </c>
      <c r="AC927" s="5">
        <v>8</v>
      </c>
    </row>
    <row r="928" spans="1:29" x14ac:dyDescent="0.35">
      <c r="A928" s="1" t="s">
        <v>954</v>
      </c>
      <c r="B928" s="1" t="s">
        <v>1272</v>
      </c>
      <c r="C928">
        <f>D928+E928+F928+G928+H928+I928</f>
        <v>9</v>
      </c>
      <c r="D928" s="2">
        <v>0</v>
      </c>
      <c r="E928" s="2">
        <v>0</v>
      </c>
      <c r="F928" s="2">
        <v>0</v>
      </c>
      <c r="G928" s="2">
        <v>7</v>
      </c>
      <c r="H928" s="2">
        <v>2</v>
      </c>
      <c r="I928" s="2">
        <v>0</v>
      </c>
      <c r="J928" s="2">
        <v>4</v>
      </c>
      <c r="K928">
        <f>J928+L928</f>
        <v>7</v>
      </c>
      <c r="L928" s="2">
        <v>3</v>
      </c>
      <c r="M928" s="2">
        <v>2</v>
      </c>
      <c r="N928" s="2">
        <f>5+21</f>
        <v>26</v>
      </c>
      <c r="O928" s="3">
        <f>N928/J928</f>
        <v>6.5</v>
      </c>
      <c r="P928" s="2">
        <v>0</v>
      </c>
      <c r="Q928" s="2">
        <v>0</v>
      </c>
      <c r="R928" s="11" t="s">
        <v>1267</v>
      </c>
      <c r="S928" s="35">
        <v>19</v>
      </c>
      <c r="T928" s="35">
        <v>0</v>
      </c>
      <c r="U928" s="35">
        <v>1</v>
      </c>
      <c r="V928" s="35">
        <f>134+26</f>
        <v>160</v>
      </c>
      <c r="W928" s="3">
        <f>V928/S928</f>
        <v>8.4210526315789469</v>
      </c>
      <c r="X928" s="3">
        <f>V928/U928</f>
        <v>160</v>
      </c>
      <c r="Y928" s="4">
        <f>S928*6/U928</f>
        <v>114</v>
      </c>
      <c r="Z928" s="40" t="s">
        <v>1230</v>
      </c>
      <c r="AA928" s="2">
        <v>0</v>
      </c>
      <c r="AB928" s="2">
        <v>0</v>
      </c>
      <c r="AC928" s="2">
        <v>3</v>
      </c>
    </row>
    <row r="929" spans="1:29" x14ac:dyDescent="0.35">
      <c r="A929" s="1" t="s">
        <v>955</v>
      </c>
      <c r="B929" s="1" t="s">
        <v>24</v>
      </c>
      <c r="C929">
        <f>D929+E929+F929+G929+H929+I929</f>
        <v>88</v>
      </c>
      <c r="D929" s="2">
        <v>0</v>
      </c>
      <c r="E929" s="2">
        <v>0</v>
      </c>
      <c r="F929" s="2">
        <v>11</v>
      </c>
      <c r="G929" s="2">
        <v>31</v>
      </c>
      <c r="H929" s="2">
        <v>14</v>
      </c>
      <c r="I929" s="2">
        <v>32</v>
      </c>
      <c r="J929" s="2">
        <v>51</v>
      </c>
      <c r="K929">
        <f>J929+L929</f>
        <v>77</v>
      </c>
      <c r="L929" s="2">
        <v>26</v>
      </c>
      <c r="M929" s="2">
        <v>31</v>
      </c>
      <c r="N929" s="2">
        <v>663</v>
      </c>
      <c r="O929" s="3">
        <f>N929/J929</f>
        <v>13</v>
      </c>
      <c r="P929" s="2">
        <v>2</v>
      </c>
      <c r="Q929" s="2">
        <v>0</v>
      </c>
      <c r="R929" s="2">
        <v>52</v>
      </c>
      <c r="S929" s="2">
        <v>567</v>
      </c>
      <c r="T929" s="2">
        <v>89</v>
      </c>
      <c r="U929" s="2">
        <v>89</v>
      </c>
      <c r="V929" s="2">
        <v>2144</v>
      </c>
      <c r="W929" s="3">
        <f>V929/S929</f>
        <v>3.7813051146384478</v>
      </c>
      <c r="X929" s="3">
        <f>V929/U929</f>
        <v>24.089887640449437</v>
      </c>
      <c r="Y929" s="4">
        <f>S929*6/U929</f>
        <v>38.224719101123597</v>
      </c>
      <c r="Z929" s="2">
        <v>5</v>
      </c>
      <c r="AA929" s="2">
        <v>1</v>
      </c>
      <c r="AB929" s="2">
        <v>0</v>
      </c>
      <c r="AC929" s="2">
        <v>23</v>
      </c>
    </row>
    <row r="930" spans="1:29" x14ac:dyDescent="0.35">
      <c r="A930" s="1" t="s">
        <v>955</v>
      </c>
      <c r="B930" s="1" t="s">
        <v>198</v>
      </c>
      <c r="C930">
        <f>D930+E930+F930+G930+H930+I930</f>
        <v>33</v>
      </c>
      <c r="D930" s="2">
        <v>6</v>
      </c>
      <c r="E930" s="2">
        <v>10</v>
      </c>
      <c r="F930" s="2">
        <v>10</v>
      </c>
      <c r="G930" s="2">
        <v>6</v>
      </c>
      <c r="H930" s="2">
        <v>1</v>
      </c>
      <c r="I930" s="2">
        <v>0</v>
      </c>
      <c r="J930" s="2">
        <v>34</v>
      </c>
      <c r="K930">
        <f>J930+L930</f>
        <v>38</v>
      </c>
      <c r="L930" s="2">
        <v>4</v>
      </c>
      <c r="M930" s="2">
        <v>4</v>
      </c>
      <c r="N930" s="2">
        <v>512</v>
      </c>
      <c r="O930" s="3">
        <f>N930/J930</f>
        <v>15.058823529411764</v>
      </c>
      <c r="P930" s="2">
        <v>2</v>
      </c>
      <c r="Q930" s="2">
        <v>0</v>
      </c>
      <c r="R930" s="2">
        <v>69</v>
      </c>
      <c r="S930" s="2">
        <v>23</v>
      </c>
      <c r="T930" s="2">
        <v>1</v>
      </c>
      <c r="U930" s="2">
        <v>0</v>
      </c>
      <c r="V930" s="2">
        <v>98</v>
      </c>
      <c r="W930" s="3">
        <f>V930/S930</f>
        <v>4.2608695652173916</v>
      </c>
      <c r="X930" s="3" t="e">
        <f>V930/U930</f>
        <v>#DIV/0!</v>
      </c>
      <c r="Y930" s="4" t="e">
        <f>S930*6/U930</f>
        <v>#DIV/0!</v>
      </c>
      <c r="Z930" s="2">
        <v>0</v>
      </c>
      <c r="AA930" s="2">
        <v>0</v>
      </c>
      <c r="AB930" s="2">
        <v>0</v>
      </c>
      <c r="AC930" s="2">
        <v>20</v>
      </c>
    </row>
    <row r="931" spans="1:29" x14ac:dyDescent="0.35">
      <c r="A931" s="1" t="s">
        <v>955</v>
      </c>
      <c r="B931" s="1" t="s">
        <v>85</v>
      </c>
      <c r="C931">
        <f>D931+E931+F931+G931+H931+I931</f>
        <v>38</v>
      </c>
      <c r="D931" s="2">
        <v>0</v>
      </c>
      <c r="E931" s="2">
        <v>0</v>
      </c>
      <c r="F931" s="2">
        <v>0</v>
      </c>
      <c r="G931" s="2">
        <v>7</v>
      </c>
      <c r="H931" s="2">
        <v>19</v>
      </c>
      <c r="I931" s="2">
        <v>12</v>
      </c>
      <c r="J931" s="2">
        <v>33</v>
      </c>
      <c r="K931">
        <f>J931+L931</f>
        <v>34</v>
      </c>
      <c r="L931" s="2">
        <v>1</v>
      </c>
      <c r="M931" s="2">
        <v>4</v>
      </c>
      <c r="N931" s="2">
        <v>676</v>
      </c>
      <c r="O931" s="3">
        <f>N931/J931</f>
        <v>20.484848484848484</v>
      </c>
      <c r="P931" s="2">
        <v>1</v>
      </c>
      <c r="Q931" s="2">
        <v>1</v>
      </c>
      <c r="R931" s="2">
        <v>101</v>
      </c>
      <c r="S931" s="2">
        <v>9</v>
      </c>
      <c r="T931" s="2">
        <v>0</v>
      </c>
      <c r="U931" s="2">
        <v>0</v>
      </c>
      <c r="V931" s="2">
        <v>45</v>
      </c>
      <c r="W931" s="3">
        <f>V931/S931</f>
        <v>5</v>
      </c>
      <c r="X931" s="3" t="e">
        <f>V931/U931</f>
        <v>#DIV/0!</v>
      </c>
      <c r="Y931" s="4" t="e">
        <f>S931*6/U931</f>
        <v>#DIV/0!</v>
      </c>
      <c r="Z931" s="2">
        <v>0</v>
      </c>
      <c r="AA931" s="2">
        <v>0</v>
      </c>
      <c r="AB931" s="2">
        <v>0</v>
      </c>
      <c r="AC931" s="2">
        <v>6</v>
      </c>
    </row>
    <row r="932" spans="1:29" x14ac:dyDescent="0.35">
      <c r="A932" s="1" t="s">
        <v>955</v>
      </c>
      <c r="B932" s="1" t="s">
        <v>206</v>
      </c>
      <c r="C932">
        <f>D932+E932+F932+G932+H932+I932</f>
        <v>14</v>
      </c>
      <c r="D932" s="2">
        <v>1</v>
      </c>
      <c r="E932" s="2">
        <v>12</v>
      </c>
      <c r="F932" s="2">
        <v>1</v>
      </c>
      <c r="G932" s="2">
        <v>0</v>
      </c>
      <c r="H932" s="2">
        <v>0</v>
      </c>
      <c r="I932" s="2">
        <v>0</v>
      </c>
      <c r="J932" s="2">
        <v>15</v>
      </c>
      <c r="K932">
        <f>J932+L932</f>
        <v>15</v>
      </c>
      <c r="L932" s="2">
        <v>0</v>
      </c>
      <c r="M932" s="2">
        <v>0</v>
      </c>
      <c r="N932" s="2">
        <v>109</v>
      </c>
      <c r="O932" s="3">
        <f>N932/J932</f>
        <v>7.2666666666666666</v>
      </c>
      <c r="P932" s="2">
        <v>0</v>
      </c>
      <c r="Q932" s="2">
        <v>0</v>
      </c>
      <c r="R932" s="2">
        <v>23</v>
      </c>
      <c r="S932" s="2">
        <v>66</v>
      </c>
      <c r="T932" s="2">
        <v>9</v>
      </c>
      <c r="U932" s="2">
        <v>10</v>
      </c>
      <c r="V932" s="2">
        <v>245</v>
      </c>
      <c r="W932" s="3">
        <f>V932/S932</f>
        <v>3.7121212121212119</v>
      </c>
      <c r="X932" s="3">
        <f>V932/U932</f>
        <v>24.5</v>
      </c>
      <c r="Y932" s="4">
        <f>S932*6/U932</f>
        <v>39.6</v>
      </c>
      <c r="Z932" s="2">
        <v>3</v>
      </c>
      <c r="AA932" s="2">
        <v>0</v>
      </c>
      <c r="AB932" s="2">
        <v>0</v>
      </c>
      <c r="AC932" s="2">
        <v>5</v>
      </c>
    </row>
    <row r="933" spans="1:29" x14ac:dyDescent="0.35">
      <c r="A933" s="1" t="s">
        <v>955</v>
      </c>
      <c r="B933" s="1" t="s">
        <v>18</v>
      </c>
      <c r="C933">
        <f>D933+E933+F933+G933+H933+I933</f>
        <v>15</v>
      </c>
      <c r="D933" s="2">
        <v>1</v>
      </c>
      <c r="E933" s="2">
        <v>13</v>
      </c>
      <c r="F933" s="2">
        <v>1</v>
      </c>
      <c r="G933" s="2">
        <v>0</v>
      </c>
      <c r="H933" s="2">
        <v>0</v>
      </c>
      <c r="I933" s="2">
        <v>0</v>
      </c>
      <c r="J933" s="2">
        <v>14</v>
      </c>
      <c r="K933">
        <f>J933+L933</f>
        <v>16</v>
      </c>
      <c r="L933" s="2">
        <v>2</v>
      </c>
      <c r="M933" s="2">
        <v>0</v>
      </c>
      <c r="N933" s="2">
        <v>98</v>
      </c>
      <c r="O933" s="3">
        <f>N933/J933</f>
        <v>7</v>
      </c>
      <c r="P933" s="2">
        <v>0</v>
      </c>
      <c r="Q933" s="2">
        <v>0</v>
      </c>
      <c r="R933" s="2">
        <v>23</v>
      </c>
      <c r="S933" s="2">
        <v>9</v>
      </c>
      <c r="T933" s="2">
        <v>0</v>
      </c>
      <c r="U933" s="2">
        <v>1</v>
      </c>
      <c r="V933" s="2">
        <v>46</v>
      </c>
      <c r="W933" s="3">
        <f>V933/S933</f>
        <v>5.1111111111111107</v>
      </c>
      <c r="X933" s="3">
        <f>V933/U933</f>
        <v>46</v>
      </c>
      <c r="Y933" s="4">
        <f>S933*6/U933</f>
        <v>54</v>
      </c>
      <c r="Z933" s="2">
        <v>1</v>
      </c>
      <c r="AA933" s="2">
        <v>0</v>
      </c>
      <c r="AB933" s="2">
        <v>0</v>
      </c>
      <c r="AC933" s="2">
        <v>3</v>
      </c>
    </row>
    <row r="934" spans="1:29" x14ac:dyDescent="0.35">
      <c r="A934" s="1" t="s">
        <v>955</v>
      </c>
      <c r="B934" s="1" t="s">
        <v>802</v>
      </c>
      <c r="C934">
        <f>D934+E934+F934+G934+H934+I934</f>
        <v>9</v>
      </c>
      <c r="D934" s="2">
        <v>0</v>
      </c>
      <c r="E934" s="2">
        <v>0</v>
      </c>
      <c r="F934" s="2">
        <v>0</v>
      </c>
      <c r="G934" s="2">
        <v>0</v>
      </c>
      <c r="H934" s="2">
        <v>0</v>
      </c>
      <c r="I934" s="2">
        <v>9</v>
      </c>
      <c r="J934" s="2">
        <v>10</v>
      </c>
      <c r="K934">
        <f>J934+L934</f>
        <v>10</v>
      </c>
      <c r="L934" s="2">
        <v>0</v>
      </c>
      <c r="M934" s="2">
        <v>0</v>
      </c>
      <c r="N934" s="2">
        <v>59</v>
      </c>
      <c r="O934" s="3">
        <f>N934/J934</f>
        <v>5.9</v>
      </c>
      <c r="P934" s="2">
        <v>0</v>
      </c>
      <c r="Q934" s="2">
        <v>0</v>
      </c>
      <c r="R934" s="2">
        <v>17</v>
      </c>
      <c r="S934" s="2">
        <v>0</v>
      </c>
      <c r="T934" s="2">
        <v>0</v>
      </c>
      <c r="U934" s="2">
        <v>0</v>
      </c>
      <c r="V934" s="2">
        <v>0</v>
      </c>
      <c r="W934" s="3" t="e">
        <f>V934/S934</f>
        <v>#DIV/0!</v>
      </c>
      <c r="X934" s="3" t="e">
        <f>V934/U934</f>
        <v>#DIV/0!</v>
      </c>
      <c r="Y934" s="4" t="e">
        <f>S934*6/U934</f>
        <v>#DIV/0!</v>
      </c>
      <c r="Z934" s="2">
        <v>0</v>
      </c>
      <c r="AA934" s="2">
        <v>0</v>
      </c>
      <c r="AB934" s="2">
        <v>0</v>
      </c>
      <c r="AC934" s="2">
        <v>3</v>
      </c>
    </row>
    <row r="935" spans="1:29" x14ac:dyDescent="0.35">
      <c r="A935" s="1" t="s">
        <v>955</v>
      </c>
      <c r="B935" s="1" t="s">
        <v>743</v>
      </c>
      <c r="C935">
        <f>D935+E935+F935+G935+H935+I935</f>
        <v>20</v>
      </c>
      <c r="D935" s="2">
        <v>0</v>
      </c>
      <c r="E935" s="2">
        <v>0</v>
      </c>
      <c r="F935" s="2">
        <v>1</v>
      </c>
      <c r="G935" s="2">
        <v>0</v>
      </c>
      <c r="H935" s="2">
        <v>8</v>
      </c>
      <c r="I935" s="2">
        <v>11</v>
      </c>
      <c r="J935" s="2">
        <v>9</v>
      </c>
      <c r="K935">
        <f>J935+L935</f>
        <v>12</v>
      </c>
      <c r="L935" s="2">
        <v>3</v>
      </c>
      <c r="M935" s="2">
        <v>9</v>
      </c>
      <c r="N935" s="2">
        <v>67</v>
      </c>
      <c r="O935" s="3">
        <f>N935/J935</f>
        <v>7.4444444444444446</v>
      </c>
      <c r="P935" s="2">
        <v>0</v>
      </c>
      <c r="Q935" s="2">
        <v>0</v>
      </c>
      <c r="R935" s="2">
        <v>41</v>
      </c>
      <c r="S935" s="2">
        <v>42</v>
      </c>
      <c r="T935" s="2">
        <v>3</v>
      </c>
      <c r="U935" s="2">
        <v>3</v>
      </c>
      <c r="V935" s="2">
        <v>167</v>
      </c>
      <c r="W935" s="3">
        <f>V935/S935</f>
        <v>3.9761904761904763</v>
      </c>
      <c r="X935" s="3">
        <f>V935/U935</f>
        <v>55.666666666666664</v>
      </c>
      <c r="Y935" s="4">
        <f>S935*6/U935</f>
        <v>84</v>
      </c>
      <c r="Z935" s="2">
        <v>1</v>
      </c>
      <c r="AA935" s="2">
        <v>0</v>
      </c>
      <c r="AB935" s="2">
        <v>0</v>
      </c>
      <c r="AC935" s="2">
        <v>2</v>
      </c>
    </row>
    <row r="936" spans="1:29" x14ac:dyDescent="0.35">
      <c r="A936" s="1" t="s">
        <v>955</v>
      </c>
      <c r="B936" s="1" t="s">
        <v>77</v>
      </c>
      <c r="C936">
        <f>D936+E936+F936+G936+H936+I936</f>
        <v>44</v>
      </c>
      <c r="D936" s="2">
        <v>0</v>
      </c>
      <c r="E936" s="2">
        <v>0</v>
      </c>
      <c r="F936" s="2">
        <v>0</v>
      </c>
      <c r="G936" s="2">
        <v>12</v>
      </c>
      <c r="H936" s="2">
        <v>12</v>
      </c>
      <c r="I936" s="2">
        <v>20</v>
      </c>
      <c r="J936" s="2">
        <v>40</v>
      </c>
      <c r="K936">
        <f>J936+L936</f>
        <v>48</v>
      </c>
      <c r="L936" s="2">
        <v>8</v>
      </c>
      <c r="M936" s="2">
        <v>1</v>
      </c>
      <c r="N936" s="2">
        <v>728</v>
      </c>
      <c r="O936" s="3">
        <f>N936/J936</f>
        <v>18.2</v>
      </c>
      <c r="P936" s="2">
        <v>1</v>
      </c>
      <c r="Q936" s="2">
        <v>1</v>
      </c>
      <c r="R936" s="2">
        <v>112</v>
      </c>
      <c r="S936" s="2">
        <v>4</v>
      </c>
      <c r="T936" s="2">
        <v>0</v>
      </c>
      <c r="U936" s="2">
        <v>0</v>
      </c>
      <c r="V936" s="2">
        <v>31</v>
      </c>
      <c r="W936" s="3">
        <f>V936/S936</f>
        <v>7.75</v>
      </c>
      <c r="X936" s="3" t="e">
        <f>V936/U936</f>
        <v>#DIV/0!</v>
      </c>
      <c r="Y936" s="4" t="e">
        <f>S936*6/U936</f>
        <v>#DIV/0!</v>
      </c>
      <c r="Z936" s="2">
        <v>0</v>
      </c>
      <c r="AA936" s="2">
        <v>0</v>
      </c>
      <c r="AB936" s="2">
        <v>0</v>
      </c>
      <c r="AC936" s="2">
        <v>1</v>
      </c>
    </row>
    <row r="937" spans="1:29" x14ac:dyDescent="0.35">
      <c r="A937" s="1" t="s">
        <v>955</v>
      </c>
      <c r="B937" s="1" t="s">
        <v>658</v>
      </c>
      <c r="C937">
        <f>D937+E937+F937+G937+H937+I937</f>
        <v>6</v>
      </c>
      <c r="D937" s="2">
        <v>0</v>
      </c>
      <c r="E937" s="2">
        <v>0</v>
      </c>
      <c r="F937" s="2">
        <v>0</v>
      </c>
      <c r="G937" s="2">
        <v>3</v>
      </c>
      <c r="H937" s="2">
        <v>0</v>
      </c>
      <c r="I937" s="2">
        <v>3</v>
      </c>
      <c r="J937" s="2">
        <v>2</v>
      </c>
      <c r="K937">
        <f>J937+L937</f>
        <v>2</v>
      </c>
      <c r="L937" s="2">
        <v>0</v>
      </c>
      <c r="M937" s="2">
        <v>4</v>
      </c>
      <c r="N937" s="2">
        <v>16</v>
      </c>
      <c r="O937" s="3">
        <f>N937/J937</f>
        <v>8</v>
      </c>
      <c r="P937" s="2">
        <v>0</v>
      </c>
      <c r="Q937" s="2">
        <v>0</v>
      </c>
      <c r="R937" s="2">
        <v>10</v>
      </c>
      <c r="S937" s="2">
        <v>14</v>
      </c>
      <c r="T937" s="2">
        <v>2</v>
      </c>
      <c r="U937" s="2">
        <v>0</v>
      </c>
      <c r="V937" s="2">
        <v>65</v>
      </c>
      <c r="W937" s="3">
        <f>V937/S937</f>
        <v>4.6428571428571432</v>
      </c>
      <c r="X937" s="3" t="e">
        <f>V937/U937</f>
        <v>#DIV/0!</v>
      </c>
      <c r="Y937" s="4" t="e">
        <f>S937*6/U937</f>
        <v>#DIV/0!</v>
      </c>
      <c r="Z937" s="2">
        <v>0</v>
      </c>
      <c r="AA937" s="2">
        <v>0</v>
      </c>
      <c r="AB937" s="2">
        <v>0</v>
      </c>
      <c r="AC937" s="2">
        <v>1</v>
      </c>
    </row>
    <row r="938" spans="1:29" x14ac:dyDescent="0.35">
      <c r="A938" s="1" t="s">
        <v>955</v>
      </c>
      <c r="B938" s="1" t="s">
        <v>694</v>
      </c>
      <c r="C938">
        <f>D938+E938+F938+G938+H938+I938</f>
        <v>1</v>
      </c>
      <c r="D938" s="2">
        <v>0</v>
      </c>
      <c r="E938" s="2">
        <v>0</v>
      </c>
      <c r="F938" s="2">
        <v>0</v>
      </c>
      <c r="G938" s="2">
        <v>0</v>
      </c>
      <c r="H938" s="2">
        <v>1</v>
      </c>
      <c r="I938" s="2">
        <v>0</v>
      </c>
      <c r="J938" s="2">
        <v>1</v>
      </c>
      <c r="K938">
        <f>J938+L938</f>
        <v>1</v>
      </c>
      <c r="L938" s="2">
        <v>0</v>
      </c>
      <c r="M938" s="2">
        <v>0</v>
      </c>
      <c r="N938" s="2">
        <v>25</v>
      </c>
      <c r="O938" s="3">
        <f>N938/J938</f>
        <v>25</v>
      </c>
      <c r="P938" s="2">
        <v>0</v>
      </c>
      <c r="Q938" s="2">
        <v>0</v>
      </c>
      <c r="R938" s="2">
        <v>25</v>
      </c>
      <c r="S938" s="2">
        <v>13</v>
      </c>
      <c r="T938" s="2">
        <v>3</v>
      </c>
      <c r="U938" s="2">
        <v>1</v>
      </c>
      <c r="V938" s="2">
        <v>44</v>
      </c>
      <c r="W938" s="3">
        <f>V938/S938</f>
        <v>3.3846153846153846</v>
      </c>
      <c r="X938" s="3">
        <f>V938/U938</f>
        <v>44</v>
      </c>
      <c r="Y938" s="4">
        <f>S938*6/U938</f>
        <v>78</v>
      </c>
      <c r="Z938" s="2">
        <v>1</v>
      </c>
      <c r="AA938" s="2">
        <v>0</v>
      </c>
      <c r="AB938" s="2">
        <v>0</v>
      </c>
      <c r="AC938" s="2">
        <v>0</v>
      </c>
    </row>
    <row r="939" spans="1:29" x14ac:dyDescent="0.35">
      <c r="A939" s="1" t="s">
        <v>955</v>
      </c>
      <c r="B939" s="1" t="s">
        <v>934</v>
      </c>
      <c r="C939">
        <f>D939+E939+F939+G939+H939+I939</f>
        <v>9</v>
      </c>
      <c r="D939" s="2">
        <v>0</v>
      </c>
      <c r="E939" s="2">
        <v>0</v>
      </c>
      <c r="F939" s="2">
        <v>0</v>
      </c>
      <c r="G939" s="2">
        <v>0</v>
      </c>
      <c r="H939" s="2">
        <v>4</v>
      </c>
      <c r="I939" s="2">
        <v>5</v>
      </c>
      <c r="J939" s="2">
        <v>6</v>
      </c>
      <c r="K939">
        <f>J939+L939</f>
        <v>9</v>
      </c>
      <c r="L939" s="2">
        <v>3</v>
      </c>
      <c r="M939" s="2">
        <v>0</v>
      </c>
      <c r="N939" s="2">
        <v>94</v>
      </c>
      <c r="O939" s="3">
        <f>N939/J939</f>
        <v>15.666666666666666</v>
      </c>
      <c r="P939" s="2">
        <v>0</v>
      </c>
      <c r="Q939" s="2">
        <v>0</v>
      </c>
      <c r="R939" s="2">
        <v>36</v>
      </c>
      <c r="S939" s="2">
        <v>0</v>
      </c>
      <c r="T939" s="2">
        <v>0</v>
      </c>
      <c r="U939" s="2">
        <v>0</v>
      </c>
      <c r="V939" s="2">
        <v>0</v>
      </c>
      <c r="W939" s="3" t="e">
        <f>V939/S939</f>
        <v>#DIV/0!</v>
      </c>
      <c r="X939" s="3" t="e">
        <f>V939/U939</f>
        <v>#DIV/0!</v>
      </c>
      <c r="Y939" s="4" t="e">
        <f>S939*6/U939</f>
        <v>#DIV/0!</v>
      </c>
      <c r="Z939" s="2">
        <v>0</v>
      </c>
      <c r="AA939" s="2">
        <v>0</v>
      </c>
      <c r="AB939" s="2">
        <v>0</v>
      </c>
      <c r="AC939" s="2">
        <v>0</v>
      </c>
    </row>
    <row r="940" spans="1:29" x14ac:dyDescent="0.35">
      <c r="A940" s="1" t="s">
        <v>955</v>
      </c>
      <c r="B940" s="1" t="s">
        <v>110</v>
      </c>
      <c r="C940">
        <f>D940+E940+F940+G940+H940+I940</f>
        <v>3</v>
      </c>
      <c r="D940" s="2">
        <v>0</v>
      </c>
      <c r="E940" s="2">
        <v>0</v>
      </c>
      <c r="F940" s="2">
        <v>0</v>
      </c>
      <c r="G940" s="2">
        <v>0</v>
      </c>
      <c r="H940" s="2">
        <v>2</v>
      </c>
      <c r="I940" s="2">
        <v>1</v>
      </c>
      <c r="J940" s="2">
        <v>1</v>
      </c>
      <c r="K940">
        <f>J940+L940</f>
        <v>1</v>
      </c>
      <c r="L940" s="2">
        <v>0</v>
      </c>
      <c r="M940" s="2">
        <v>2</v>
      </c>
      <c r="N940" s="2">
        <v>0</v>
      </c>
      <c r="O940" s="3">
        <f>N940/J940</f>
        <v>0</v>
      </c>
      <c r="P940" s="2">
        <v>0</v>
      </c>
      <c r="Q940" s="2">
        <v>0</v>
      </c>
      <c r="R940" s="2">
        <v>0</v>
      </c>
      <c r="S940" s="2">
        <v>7</v>
      </c>
      <c r="T940" s="2">
        <v>0</v>
      </c>
      <c r="U940" s="2">
        <v>0</v>
      </c>
      <c r="V940" s="2">
        <v>21</v>
      </c>
      <c r="W940" s="3">
        <f>V940/S940</f>
        <v>3</v>
      </c>
      <c r="X940" s="3" t="e">
        <f>V940/U940</f>
        <v>#DIV/0!</v>
      </c>
      <c r="Y940" s="4" t="e">
        <f>S940*6/U940</f>
        <v>#DIV/0!</v>
      </c>
      <c r="Z940" s="2">
        <v>0</v>
      </c>
      <c r="AA940" s="2">
        <v>0</v>
      </c>
      <c r="AB940" s="2">
        <v>0</v>
      </c>
      <c r="AC940" s="2">
        <v>0</v>
      </c>
    </row>
    <row r="941" spans="1:29" x14ac:dyDescent="0.35">
      <c r="A941" s="1" t="s">
        <v>955</v>
      </c>
      <c r="B941" s="1" t="s">
        <v>190</v>
      </c>
      <c r="C941">
        <f>D941+E941+F941+G941+H941+I941</f>
        <v>1</v>
      </c>
      <c r="D941" s="2">
        <v>0</v>
      </c>
      <c r="E941" s="2">
        <v>0</v>
      </c>
      <c r="F941" s="2">
        <v>0</v>
      </c>
      <c r="G941" s="2">
        <v>1</v>
      </c>
      <c r="H941" s="2">
        <v>0</v>
      </c>
      <c r="I941" s="2">
        <v>0</v>
      </c>
      <c r="J941" s="2">
        <v>0</v>
      </c>
      <c r="K941">
        <f>J941+L941</f>
        <v>0</v>
      </c>
      <c r="L941" s="2">
        <v>0</v>
      </c>
      <c r="M941" s="2">
        <v>1</v>
      </c>
      <c r="N941" s="2">
        <v>0</v>
      </c>
      <c r="O941" s="3" t="e">
        <f>N941/J941</f>
        <v>#DIV/0!</v>
      </c>
      <c r="P941" s="2">
        <v>0</v>
      </c>
      <c r="Q941" s="2">
        <v>0</v>
      </c>
      <c r="R941" s="2">
        <v>0</v>
      </c>
      <c r="S941" s="2">
        <v>9</v>
      </c>
      <c r="T941" s="2">
        <v>2</v>
      </c>
      <c r="U941" s="2">
        <v>0</v>
      </c>
      <c r="V941" s="2">
        <v>43</v>
      </c>
      <c r="W941" s="3">
        <f>V941/S941</f>
        <v>4.7777777777777777</v>
      </c>
      <c r="X941" s="3" t="e">
        <f>V941/U941</f>
        <v>#DIV/0!</v>
      </c>
      <c r="Y941" s="4" t="e">
        <f>S941*6/U941</f>
        <v>#DIV/0!</v>
      </c>
      <c r="Z941" s="2">
        <v>0</v>
      </c>
      <c r="AA941" s="2">
        <v>0</v>
      </c>
      <c r="AB941" s="2">
        <v>0</v>
      </c>
      <c r="AC941" s="2">
        <v>0</v>
      </c>
    </row>
    <row r="942" spans="1:29" x14ac:dyDescent="0.35">
      <c r="A942" s="1" t="s">
        <v>956</v>
      </c>
      <c r="B942" s="1" t="s">
        <v>85</v>
      </c>
      <c r="C942">
        <f>D942+E942+F942+G942+H942+I942</f>
        <v>83</v>
      </c>
      <c r="D942" s="2">
        <v>18</v>
      </c>
      <c r="E942" s="2">
        <v>16</v>
      </c>
      <c r="F942" s="2">
        <v>2</v>
      </c>
      <c r="G942" s="2">
        <v>20</v>
      </c>
      <c r="H942" s="2">
        <v>13</v>
      </c>
      <c r="I942" s="2">
        <v>14</v>
      </c>
      <c r="J942" s="2">
        <v>44</v>
      </c>
      <c r="K942">
        <f>J942+L942</f>
        <v>59</v>
      </c>
      <c r="L942" s="2">
        <v>15</v>
      </c>
      <c r="M942" s="2">
        <v>25</v>
      </c>
      <c r="N942" s="2">
        <v>472</v>
      </c>
      <c r="O942" s="3">
        <f>N942/J942</f>
        <v>10.727272727272727</v>
      </c>
      <c r="P942" s="2">
        <v>1</v>
      </c>
      <c r="Q942" s="2">
        <v>0</v>
      </c>
      <c r="R942" s="2">
        <v>63</v>
      </c>
      <c r="S942" s="2">
        <v>617</v>
      </c>
      <c r="T942" s="2">
        <v>131</v>
      </c>
      <c r="U942" s="2">
        <v>99</v>
      </c>
      <c r="V942" s="2">
        <v>1838</v>
      </c>
      <c r="W942" s="3">
        <f>V942/S942</f>
        <v>2.9789303079416531</v>
      </c>
      <c r="X942" s="3">
        <f>V942/U942</f>
        <v>18.565656565656564</v>
      </c>
      <c r="Y942" s="4">
        <f>S942*6/U942</f>
        <v>37.393939393939391</v>
      </c>
      <c r="Z942" s="2">
        <v>5</v>
      </c>
      <c r="AA942" s="2">
        <v>2</v>
      </c>
      <c r="AB942" s="2">
        <v>0</v>
      </c>
      <c r="AC942" s="2">
        <v>37</v>
      </c>
    </row>
    <row r="943" spans="1:29" x14ac:dyDescent="0.35">
      <c r="A943" s="1" t="s">
        <v>957</v>
      </c>
      <c r="B943" s="1" t="s">
        <v>958</v>
      </c>
      <c r="C943">
        <f>D943+E943+F943+G943+H943+I943</f>
        <v>11</v>
      </c>
      <c r="D943" s="2">
        <v>11</v>
      </c>
      <c r="E943" s="2">
        <v>0</v>
      </c>
      <c r="F943" s="2">
        <v>0</v>
      </c>
      <c r="G943" s="2">
        <v>0</v>
      </c>
      <c r="H943" s="2">
        <v>0</v>
      </c>
      <c r="I943" s="2">
        <v>0</v>
      </c>
      <c r="J943" s="2">
        <v>9</v>
      </c>
      <c r="K943">
        <f>J943+L943</f>
        <v>10</v>
      </c>
      <c r="L943" s="2">
        <v>1</v>
      </c>
      <c r="M943" s="2">
        <v>1</v>
      </c>
      <c r="N943" s="2">
        <v>198</v>
      </c>
      <c r="O943" s="3">
        <f>N943/J943</f>
        <v>22</v>
      </c>
      <c r="P943" s="2">
        <v>1</v>
      </c>
      <c r="Q943" s="2">
        <v>0</v>
      </c>
      <c r="R943" s="2">
        <v>68</v>
      </c>
      <c r="S943" s="2">
        <v>100</v>
      </c>
      <c r="T943" s="2">
        <v>15</v>
      </c>
      <c r="U943" s="2">
        <v>9</v>
      </c>
      <c r="V943" s="2">
        <v>302</v>
      </c>
      <c r="W943" s="3">
        <f>V943/S943</f>
        <v>3.02</v>
      </c>
      <c r="X943" s="3">
        <f>V943/U943</f>
        <v>33.555555555555557</v>
      </c>
      <c r="Y943" s="4">
        <f>S943*6/U943</f>
        <v>66.666666666666671</v>
      </c>
      <c r="Z943" s="2">
        <v>3</v>
      </c>
      <c r="AA943" s="2">
        <v>0</v>
      </c>
      <c r="AB943" s="2">
        <v>0</v>
      </c>
      <c r="AC943" s="2">
        <v>2</v>
      </c>
    </row>
    <row r="944" spans="1:29" x14ac:dyDescent="0.35">
      <c r="A944" s="1" t="s">
        <v>959</v>
      </c>
      <c r="B944" s="1" t="s">
        <v>960</v>
      </c>
      <c r="C944">
        <f>D944+E944+F944+G944+H944+I944</f>
        <v>21</v>
      </c>
      <c r="D944" s="2">
        <v>0</v>
      </c>
      <c r="E944" s="2">
        <v>0</v>
      </c>
      <c r="F944" s="2">
        <v>0</v>
      </c>
      <c r="G944" s="2">
        <v>21</v>
      </c>
      <c r="H944" s="2">
        <v>0</v>
      </c>
      <c r="I944" s="2">
        <v>0</v>
      </c>
      <c r="J944" s="2">
        <v>19</v>
      </c>
      <c r="K944">
        <f>J944+L944</f>
        <v>19</v>
      </c>
      <c r="L944" s="2">
        <v>0</v>
      </c>
      <c r="M944" s="2">
        <v>2</v>
      </c>
      <c r="N944" s="2">
        <v>198</v>
      </c>
      <c r="O944" s="3">
        <f>N944/J944</f>
        <v>10.421052631578947</v>
      </c>
      <c r="P944" s="2">
        <v>0</v>
      </c>
      <c r="Q944" s="2">
        <v>0</v>
      </c>
      <c r="R944" s="2">
        <v>40</v>
      </c>
      <c r="S944" s="2">
        <v>34</v>
      </c>
      <c r="T944" s="2">
        <v>1</v>
      </c>
      <c r="U944" s="2">
        <v>5</v>
      </c>
      <c r="V944" s="2">
        <v>150</v>
      </c>
      <c r="W944" s="3">
        <f>V944/S944</f>
        <v>4.4117647058823533</v>
      </c>
      <c r="X944" s="3">
        <f>V944/U944</f>
        <v>30</v>
      </c>
      <c r="Y944" s="4">
        <f>S944*6/U944</f>
        <v>40.799999999999997</v>
      </c>
      <c r="Z944" s="2">
        <v>3</v>
      </c>
      <c r="AA944" s="2">
        <v>0</v>
      </c>
      <c r="AB944" s="2">
        <v>0</v>
      </c>
      <c r="AC944" s="2">
        <v>1</v>
      </c>
    </row>
    <row r="945" spans="1:29" x14ac:dyDescent="0.35">
      <c r="A945" s="1" t="s">
        <v>961</v>
      </c>
      <c r="B945" s="1" t="s">
        <v>792</v>
      </c>
      <c r="C945">
        <f>D945+E945+F945+G945+H945+I945</f>
        <v>32</v>
      </c>
      <c r="D945" s="2">
        <v>0</v>
      </c>
      <c r="E945" s="2">
        <v>8</v>
      </c>
      <c r="F945" s="2">
        <v>11</v>
      </c>
      <c r="G945" s="2">
        <v>10</v>
      </c>
      <c r="H945" s="2">
        <v>3</v>
      </c>
      <c r="I945" s="2">
        <v>0</v>
      </c>
      <c r="J945" s="2">
        <v>50</v>
      </c>
      <c r="K945">
        <f>J945+L945</f>
        <v>57</v>
      </c>
      <c r="L945" s="2">
        <v>7</v>
      </c>
      <c r="M945" s="2">
        <v>3</v>
      </c>
      <c r="N945" s="2">
        <v>724</v>
      </c>
      <c r="O945" s="3">
        <f>N945/J945</f>
        <v>14.48</v>
      </c>
      <c r="P945" s="2">
        <v>3</v>
      </c>
      <c r="Q945" s="2">
        <v>0</v>
      </c>
      <c r="R945" s="2">
        <v>69</v>
      </c>
      <c r="S945" s="2">
        <v>109</v>
      </c>
      <c r="T945" s="2">
        <v>16</v>
      </c>
      <c r="U945" s="2">
        <v>16</v>
      </c>
      <c r="V945" s="2">
        <v>374</v>
      </c>
      <c r="W945" s="3">
        <f>V945/S945</f>
        <v>3.4311926605504586</v>
      </c>
      <c r="X945" s="3">
        <f>V945/U945</f>
        <v>23.375</v>
      </c>
      <c r="Y945" s="4">
        <f>S945*6/U945</f>
        <v>40.875</v>
      </c>
      <c r="Z945" s="2">
        <v>3</v>
      </c>
      <c r="AA945" s="2">
        <v>0</v>
      </c>
      <c r="AB945" s="2">
        <v>0</v>
      </c>
      <c r="AC945" s="2">
        <v>9</v>
      </c>
    </row>
    <row r="946" spans="1:29" x14ac:dyDescent="0.35">
      <c r="A946" s="1" t="s">
        <v>961</v>
      </c>
      <c r="B946" s="1" t="s">
        <v>868</v>
      </c>
      <c r="C946">
        <f>D946+E946+F946+G946+H946+I946</f>
        <v>4</v>
      </c>
      <c r="D946" s="2">
        <v>0</v>
      </c>
      <c r="E946" s="2">
        <v>0</v>
      </c>
      <c r="F946" s="2">
        <v>4</v>
      </c>
      <c r="G946" s="2">
        <v>0</v>
      </c>
      <c r="H946" s="2">
        <v>0</v>
      </c>
      <c r="I946" s="2">
        <v>0</v>
      </c>
      <c r="J946" s="2">
        <v>6</v>
      </c>
      <c r="K946">
        <f>J946+L946</f>
        <v>6</v>
      </c>
      <c r="L946" s="2">
        <v>0</v>
      </c>
      <c r="M946" s="2">
        <v>1</v>
      </c>
      <c r="N946" s="2">
        <v>21</v>
      </c>
      <c r="O946" s="3">
        <f>N946/J946</f>
        <v>3.5</v>
      </c>
      <c r="P946" s="2">
        <v>0</v>
      </c>
      <c r="Q946" s="2">
        <v>0</v>
      </c>
      <c r="R946" s="2">
        <v>6</v>
      </c>
      <c r="S946" s="2">
        <v>5</v>
      </c>
      <c r="T946" s="2">
        <v>0</v>
      </c>
      <c r="U946" s="2">
        <v>1</v>
      </c>
      <c r="V946" s="2">
        <v>12</v>
      </c>
      <c r="W946" s="3">
        <f>V946/S946</f>
        <v>2.4</v>
      </c>
      <c r="X946" s="3">
        <f>V946/U946</f>
        <v>12</v>
      </c>
      <c r="Y946" s="4">
        <f>S946*6/U946</f>
        <v>30</v>
      </c>
      <c r="Z946" s="2">
        <v>1</v>
      </c>
      <c r="AA946" s="2">
        <v>0</v>
      </c>
      <c r="AB946" s="2">
        <v>0</v>
      </c>
      <c r="AC946" s="2">
        <v>0</v>
      </c>
    </row>
    <row r="947" spans="1:29" x14ac:dyDescent="0.35">
      <c r="A947" s="1" t="s">
        <v>962</v>
      </c>
      <c r="B947" s="1" t="s">
        <v>229</v>
      </c>
      <c r="C947">
        <f>D947+E947+F947+G947+H947+I947</f>
        <v>9</v>
      </c>
      <c r="D947" s="2">
        <v>0</v>
      </c>
      <c r="E947" s="2">
        <v>6</v>
      </c>
      <c r="F947" s="2">
        <v>1</v>
      </c>
      <c r="G947" s="2">
        <v>1</v>
      </c>
      <c r="H947" s="2">
        <v>0</v>
      </c>
      <c r="I947" s="2">
        <v>1</v>
      </c>
      <c r="J947" s="2">
        <v>10</v>
      </c>
      <c r="K947">
        <f>J947+L947</f>
        <v>11</v>
      </c>
      <c r="L947" s="2">
        <v>1</v>
      </c>
      <c r="M947" s="2">
        <v>1</v>
      </c>
      <c r="N947" s="2">
        <v>139</v>
      </c>
      <c r="O947" s="3">
        <f>N947/J947</f>
        <v>13.9</v>
      </c>
      <c r="P947" s="2">
        <v>0</v>
      </c>
      <c r="Q947" s="2">
        <v>0</v>
      </c>
      <c r="R947" s="2">
        <v>36</v>
      </c>
      <c r="S947" s="2">
        <v>52</v>
      </c>
      <c r="T947" s="2">
        <v>13</v>
      </c>
      <c r="U947" s="2">
        <v>8</v>
      </c>
      <c r="V947" s="2">
        <v>137</v>
      </c>
      <c r="W947" s="3">
        <f>V947/S947</f>
        <v>2.6346153846153846</v>
      </c>
      <c r="X947" s="3">
        <f>V947/U947</f>
        <v>17.125</v>
      </c>
      <c r="Y947" s="4">
        <f>S947*6/U947</f>
        <v>39</v>
      </c>
      <c r="Z947" s="2">
        <v>3</v>
      </c>
      <c r="AA947" s="2">
        <v>0</v>
      </c>
      <c r="AB947" s="2">
        <v>0</v>
      </c>
      <c r="AC947" s="2">
        <v>1</v>
      </c>
    </row>
    <row r="948" spans="1:29" x14ac:dyDescent="0.35">
      <c r="A948" s="1" t="s">
        <v>963</v>
      </c>
      <c r="B948" s="1" t="s">
        <v>186</v>
      </c>
      <c r="C948">
        <f>D948+E948+F948+G948+H948+I948</f>
        <v>8</v>
      </c>
      <c r="D948" s="2">
        <v>0</v>
      </c>
      <c r="E948" s="2">
        <v>1</v>
      </c>
      <c r="F948" s="2">
        <v>5</v>
      </c>
      <c r="G948" s="2">
        <v>1</v>
      </c>
      <c r="H948" s="2">
        <v>1</v>
      </c>
      <c r="I948" s="2">
        <v>0</v>
      </c>
      <c r="J948" s="2">
        <v>4</v>
      </c>
      <c r="K948">
        <f>J948+L948</f>
        <v>6</v>
      </c>
      <c r="L948" s="2">
        <v>2</v>
      </c>
      <c r="M948" s="2">
        <v>2</v>
      </c>
      <c r="N948" s="2">
        <v>22</v>
      </c>
      <c r="O948" s="3">
        <f>N948/J948</f>
        <v>5.5</v>
      </c>
      <c r="P948" s="2">
        <v>0</v>
      </c>
      <c r="Q948" s="2">
        <v>0</v>
      </c>
      <c r="R948" s="2">
        <v>8</v>
      </c>
      <c r="S948" s="2">
        <v>57</v>
      </c>
      <c r="T948" s="2">
        <v>10</v>
      </c>
      <c r="U948" s="2">
        <v>12</v>
      </c>
      <c r="V948" s="2">
        <v>186</v>
      </c>
      <c r="W948" s="3">
        <f>V948/S948</f>
        <v>3.263157894736842</v>
      </c>
      <c r="X948" s="3">
        <f>V948/U948</f>
        <v>15.5</v>
      </c>
      <c r="Y948" s="4">
        <f>S948*6/U948</f>
        <v>28.5</v>
      </c>
      <c r="Z948" s="2">
        <v>4</v>
      </c>
      <c r="AA948" s="2">
        <v>0</v>
      </c>
      <c r="AB948" s="2">
        <v>0</v>
      </c>
      <c r="AC948" s="2">
        <v>2</v>
      </c>
    </row>
    <row r="949" spans="1:29" x14ac:dyDescent="0.35">
      <c r="A949" s="1" t="s">
        <v>964</v>
      </c>
      <c r="B949" s="1" t="s">
        <v>125</v>
      </c>
      <c r="C949">
        <f>D949+E949+F949+G949+H949+I949</f>
        <v>2</v>
      </c>
      <c r="D949" s="2">
        <v>0</v>
      </c>
      <c r="E949" s="2">
        <v>0</v>
      </c>
      <c r="F949" s="2">
        <v>2</v>
      </c>
      <c r="G949" s="2">
        <v>0</v>
      </c>
      <c r="H949" s="2">
        <v>0</v>
      </c>
      <c r="I949" s="2">
        <v>0</v>
      </c>
      <c r="J949" s="2">
        <v>1</v>
      </c>
      <c r="K949">
        <f>J949+L949</f>
        <v>2</v>
      </c>
      <c r="L949" s="2">
        <v>1</v>
      </c>
      <c r="M949" s="2">
        <v>0</v>
      </c>
      <c r="N949" s="2">
        <v>4</v>
      </c>
      <c r="O949" s="3">
        <f>N949/J949</f>
        <v>4</v>
      </c>
      <c r="P949" s="2">
        <v>0</v>
      </c>
      <c r="Q949" s="2">
        <v>0</v>
      </c>
      <c r="R949" s="2">
        <v>4</v>
      </c>
      <c r="S949" s="2">
        <v>11</v>
      </c>
      <c r="T949" s="2">
        <v>2</v>
      </c>
      <c r="U949" s="2">
        <v>2</v>
      </c>
      <c r="V949" s="2">
        <v>21</v>
      </c>
      <c r="W949" s="3">
        <f>V949/S949</f>
        <v>1.9090909090909092</v>
      </c>
      <c r="X949" s="3">
        <f>V949/U949</f>
        <v>10.5</v>
      </c>
      <c r="Y949" s="4">
        <f>S949*6/U949</f>
        <v>33</v>
      </c>
      <c r="Z949" s="2">
        <v>1</v>
      </c>
      <c r="AA949" s="2">
        <v>0</v>
      </c>
      <c r="AB949" s="2">
        <v>0</v>
      </c>
      <c r="AC949" s="2">
        <v>1</v>
      </c>
    </row>
    <row r="950" spans="1:29" x14ac:dyDescent="0.35">
      <c r="A950" s="37" t="s">
        <v>1278</v>
      </c>
      <c r="B950" s="37" t="s">
        <v>175</v>
      </c>
      <c r="C950" s="18">
        <f>D950+E950+F950+G950+H950+I950</f>
        <v>40</v>
      </c>
      <c r="D950" s="21">
        <v>0</v>
      </c>
      <c r="E950" s="21">
        <v>0</v>
      </c>
      <c r="F950" s="21">
        <v>1</v>
      </c>
      <c r="G950" s="21">
        <v>13</v>
      </c>
      <c r="H950" s="21">
        <v>16</v>
      </c>
      <c r="I950" s="21">
        <v>10</v>
      </c>
      <c r="J950" s="21">
        <v>16</v>
      </c>
      <c r="K950" s="18">
        <f>J950+L950</f>
        <v>27</v>
      </c>
      <c r="L950" s="21">
        <v>11</v>
      </c>
      <c r="M950" s="21">
        <v>13</v>
      </c>
      <c r="N950" s="21">
        <f>216+11</f>
        <v>227</v>
      </c>
      <c r="O950" s="19">
        <f>N950/J950</f>
        <v>14.1875</v>
      </c>
      <c r="P950" s="21">
        <v>0</v>
      </c>
      <c r="Q950" s="21">
        <v>0</v>
      </c>
      <c r="R950" s="37" t="s">
        <v>1279</v>
      </c>
      <c r="S950" s="37">
        <v>223.5</v>
      </c>
      <c r="T950" s="37">
        <v>21</v>
      </c>
      <c r="U950" s="37">
        <v>45</v>
      </c>
      <c r="V950" s="37">
        <f>919+84</f>
        <v>1003</v>
      </c>
      <c r="W950" s="19">
        <f>V950/S950</f>
        <v>4.4876957494407161</v>
      </c>
      <c r="X950" s="19">
        <f>V950/U950</f>
        <v>22.288888888888888</v>
      </c>
      <c r="Y950" s="19">
        <f>227/U950</f>
        <v>5.0444444444444443</v>
      </c>
      <c r="Z950" s="37" t="s">
        <v>1349</v>
      </c>
      <c r="AA950" s="37">
        <v>0</v>
      </c>
      <c r="AB950" s="37">
        <v>0</v>
      </c>
      <c r="AC950" s="46">
        <v>7</v>
      </c>
    </row>
    <row r="951" spans="1:29" x14ac:dyDescent="0.35">
      <c r="A951" s="1" t="s">
        <v>965</v>
      </c>
      <c r="B951" s="1" t="s">
        <v>190</v>
      </c>
      <c r="C951">
        <f>D951+E951+F951+G951+H951+I951</f>
        <v>1</v>
      </c>
      <c r="D951" s="2">
        <v>0</v>
      </c>
      <c r="E951" s="2">
        <v>0</v>
      </c>
      <c r="F951" s="2">
        <v>0</v>
      </c>
      <c r="G951" s="2">
        <v>0</v>
      </c>
      <c r="H951" s="2">
        <v>1</v>
      </c>
      <c r="I951" s="2">
        <v>0</v>
      </c>
      <c r="J951" s="2">
        <v>0</v>
      </c>
      <c r="K951">
        <f>J951+L951</f>
        <v>0</v>
      </c>
      <c r="L951" s="2">
        <v>0</v>
      </c>
      <c r="M951" s="2">
        <v>1</v>
      </c>
      <c r="N951" s="2">
        <v>0</v>
      </c>
      <c r="O951" s="3" t="e">
        <f>N951/J951</f>
        <v>#DIV/0!</v>
      </c>
      <c r="P951" s="2">
        <v>0</v>
      </c>
      <c r="Q951" s="2">
        <v>0</v>
      </c>
      <c r="R951" s="2">
        <v>0</v>
      </c>
      <c r="S951" s="2">
        <v>3</v>
      </c>
      <c r="T951" s="2">
        <v>0</v>
      </c>
      <c r="U951" s="2">
        <v>0</v>
      </c>
      <c r="V951" s="2">
        <v>17</v>
      </c>
      <c r="W951" s="3">
        <f>V951/S951</f>
        <v>5.666666666666667</v>
      </c>
      <c r="X951" s="3" t="e">
        <f>V951/U951</f>
        <v>#DIV/0!</v>
      </c>
      <c r="Y951" s="4" t="e">
        <f>S951*6/U951</f>
        <v>#DIV/0!</v>
      </c>
      <c r="Z951" s="2">
        <v>0</v>
      </c>
      <c r="AA951" s="2">
        <v>0</v>
      </c>
      <c r="AB951" s="2">
        <v>0</v>
      </c>
      <c r="AC951" s="2">
        <v>0</v>
      </c>
    </row>
    <row r="952" spans="1:29" x14ac:dyDescent="0.35">
      <c r="A952" s="37" t="s">
        <v>1338</v>
      </c>
      <c r="B952" s="37" t="s">
        <v>1339</v>
      </c>
      <c r="C952" s="18">
        <f>D952+E952+F952+G952+H952+I952</f>
        <v>24</v>
      </c>
      <c r="D952" s="37">
        <v>0</v>
      </c>
      <c r="E952" s="37">
        <v>10</v>
      </c>
      <c r="F952" s="37">
        <v>12</v>
      </c>
      <c r="G952" s="37">
        <v>2</v>
      </c>
      <c r="H952" s="37">
        <v>0</v>
      </c>
      <c r="I952" s="37">
        <v>0</v>
      </c>
      <c r="J952" s="37">
        <v>12</v>
      </c>
      <c r="K952" s="18">
        <f>J952+L952</f>
        <v>16</v>
      </c>
      <c r="L952" s="37">
        <v>4</v>
      </c>
      <c r="M952" s="37">
        <v>10</v>
      </c>
      <c r="N952" s="37">
        <f>91+23</f>
        <v>114</v>
      </c>
      <c r="O952" s="19">
        <f>N952/J952</f>
        <v>9.5</v>
      </c>
      <c r="P952" s="37">
        <v>0</v>
      </c>
      <c r="Q952" s="37">
        <v>0</v>
      </c>
      <c r="R952" s="37" t="s">
        <v>1404</v>
      </c>
      <c r="S952" s="37">
        <v>170.4</v>
      </c>
      <c r="T952" s="37">
        <v>23</v>
      </c>
      <c r="U952" s="37">
        <v>25</v>
      </c>
      <c r="V952" s="37">
        <f>505+160</f>
        <v>665</v>
      </c>
      <c r="W952" s="19">
        <f>V952/S952</f>
        <v>3.902582159624413</v>
      </c>
      <c r="X952" s="19">
        <f>V952/U952</f>
        <v>26.6</v>
      </c>
      <c r="Y952" s="19">
        <f>S952*6/U952</f>
        <v>40.896000000000001</v>
      </c>
      <c r="Z952" s="37" t="s">
        <v>1193</v>
      </c>
      <c r="AA952" s="37">
        <v>0</v>
      </c>
      <c r="AB952" s="37">
        <v>0</v>
      </c>
      <c r="AC952" s="37">
        <v>8</v>
      </c>
    </row>
    <row r="953" spans="1:29" x14ac:dyDescent="0.35">
      <c r="A953" s="1" t="s">
        <v>966</v>
      </c>
      <c r="B953" s="1" t="s">
        <v>24</v>
      </c>
      <c r="C953">
        <f>D953+E953+F953+G953+H953+I953</f>
        <v>1</v>
      </c>
      <c r="D953" s="2">
        <v>0</v>
      </c>
      <c r="E953" s="2">
        <v>0</v>
      </c>
      <c r="F953" s="2">
        <v>0</v>
      </c>
      <c r="G953" s="2">
        <v>1</v>
      </c>
      <c r="H953" s="2">
        <v>0</v>
      </c>
      <c r="I953" s="2">
        <v>0</v>
      </c>
      <c r="J953" s="2">
        <v>0</v>
      </c>
      <c r="K953">
        <f>J953+L953</f>
        <v>0</v>
      </c>
      <c r="L953" s="2">
        <v>0</v>
      </c>
      <c r="M953" s="2">
        <v>1</v>
      </c>
      <c r="N953" s="2">
        <v>0</v>
      </c>
      <c r="O953" s="3" t="e">
        <f>N953/J953</f>
        <v>#DIV/0!</v>
      </c>
      <c r="P953" s="2">
        <v>0</v>
      </c>
      <c r="Q953" s="2">
        <v>0</v>
      </c>
      <c r="R953" s="2">
        <v>0</v>
      </c>
      <c r="S953" s="2">
        <v>7</v>
      </c>
      <c r="T953" s="2">
        <v>1</v>
      </c>
      <c r="U953" s="2">
        <v>2</v>
      </c>
      <c r="V953" s="2">
        <v>24</v>
      </c>
      <c r="W953" s="3">
        <f>V953/S953</f>
        <v>3.4285714285714284</v>
      </c>
      <c r="X953" s="3">
        <f>V953/U953</f>
        <v>12</v>
      </c>
      <c r="Y953" s="4">
        <f>S953*6/U953</f>
        <v>21</v>
      </c>
      <c r="Z953" s="2">
        <v>2</v>
      </c>
      <c r="AA953" s="2">
        <v>0</v>
      </c>
      <c r="AB953" s="2">
        <v>0</v>
      </c>
      <c r="AC953" s="2">
        <v>0</v>
      </c>
    </row>
    <row r="954" spans="1:29" x14ac:dyDescent="0.35">
      <c r="A954" s="1" t="s">
        <v>967</v>
      </c>
      <c r="B954" s="1" t="s">
        <v>968</v>
      </c>
      <c r="C954">
        <f>D954+E954+F954+G954+H954+I954</f>
        <v>10</v>
      </c>
      <c r="D954" s="2">
        <v>0</v>
      </c>
      <c r="E954" s="2">
        <v>0</v>
      </c>
      <c r="F954" s="2">
        <v>10</v>
      </c>
      <c r="G954" s="2">
        <v>0</v>
      </c>
      <c r="H954" s="2">
        <v>0</v>
      </c>
      <c r="I954" s="2">
        <v>0</v>
      </c>
      <c r="J954" s="2">
        <v>1</v>
      </c>
      <c r="K954">
        <f>J954+L954</f>
        <v>2</v>
      </c>
      <c r="L954" s="2">
        <v>1</v>
      </c>
      <c r="M954" s="2">
        <v>8</v>
      </c>
      <c r="N954" s="2">
        <v>30</v>
      </c>
      <c r="O954" s="3">
        <f>N954/J954</f>
        <v>30</v>
      </c>
      <c r="P954" s="2">
        <v>0</v>
      </c>
      <c r="Q954" s="2">
        <v>0</v>
      </c>
      <c r="R954" s="2">
        <v>27</v>
      </c>
      <c r="S954" s="2">
        <v>105</v>
      </c>
      <c r="T954" s="2">
        <v>8</v>
      </c>
      <c r="U954" s="2">
        <v>18</v>
      </c>
      <c r="V954" s="2">
        <v>424</v>
      </c>
      <c r="W954" s="3">
        <f>V954/S954</f>
        <v>4.038095238095238</v>
      </c>
      <c r="X954" s="3">
        <f>V954/U954</f>
        <v>23.555555555555557</v>
      </c>
      <c r="Y954" s="4">
        <f>S954*6/U954</f>
        <v>35</v>
      </c>
      <c r="Z954" s="2">
        <v>4</v>
      </c>
      <c r="AA954" s="2">
        <v>0</v>
      </c>
      <c r="AB954" s="2">
        <v>0</v>
      </c>
      <c r="AC954" s="2">
        <v>1</v>
      </c>
    </row>
    <row r="955" spans="1:29" x14ac:dyDescent="0.35">
      <c r="A955" s="1" t="s">
        <v>969</v>
      </c>
      <c r="B955" s="1" t="s">
        <v>224</v>
      </c>
      <c r="C955">
        <f>D955+E955+F955+G955+H955+I955</f>
        <v>23</v>
      </c>
      <c r="D955" s="2">
        <v>23</v>
      </c>
      <c r="E955" s="2">
        <v>0</v>
      </c>
      <c r="F955" s="2">
        <v>0</v>
      </c>
      <c r="G955" s="2">
        <v>0</v>
      </c>
      <c r="H955" s="2">
        <v>0</v>
      </c>
      <c r="I955" s="2">
        <v>0</v>
      </c>
      <c r="J955" s="2">
        <v>23</v>
      </c>
      <c r="K955">
        <f>J955+L955</f>
        <v>24</v>
      </c>
      <c r="L955" s="2">
        <v>1</v>
      </c>
      <c r="M955" s="2">
        <v>0</v>
      </c>
      <c r="N955" s="2">
        <f>250+317</f>
        <v>567</v>
      </c>
      <c r="O955" s="3">
        <f>N955/J955</f>
        <v>24.652173913043477</v>
      </c>
      <c r="P955" s="2">
        <v>3</v>
      </c>
      <c r="Q955" s="2">
        <v>0</v>
      </c>
      <c r="R955" s="2">
        <v>83</v>
      </c>
      <c r="S955" s="11">
        <v>1</v>
      </c>
      <c r="T955" s="11">
        <v>0</v>
      </c>
      <c r="U955" s="11">
        <v>0</v>
      </c>
      <c r="V955" s="11">
        <v>10</v>
      </c>
      <c r="W955" s="3">
        <f>V955/S955</f>
        <v>10</v>
      </c>
      <c r="X955" s="3">
        <v>0</v>
      </c>
      <c r="Y955" s="3">
        <v>0</v>
      </c>
      <c r="Z955" s="3" t="s">
        <v>1180</v>
      </c>
      <c r="AA955" s="13">
        <v>0</v>
      </c>
      <c r="AB955" s="13">
        <v>0</v>
      </c>
      <c r="AC955" s="2">
        <v>8</v>
      </c>
    </row>
    <row r="956" spans="1:29" x14ac:dyDescent="0.35">
      <c r="A956" s="1" t="s">
        <v>969</v>
      </c>
      <c r="B956" s="34" t="s">
        <v>28</v>
      </c>
      <c r="C956">
        <f>D956+E956+F956+G956+H956+I956</f>
        <v>24</v>
      </c>
      <c r="D956" s="40">
        <v>0</v>
      </c>
      <c r="E956" s="40">
        <v>0</v>
      </c>
      <c r="F956" s="40">
        <v>8</v>
      </c>
      <c r="G956" s="40">
        <v>7</v>
      </c>
      <c r="H956" s="40">
        <v>9</v>
      </c>
      <c r="I956" s="40">
        <v>0</v>
      </c>
      <c r="J956" s="40">
        <v>13</v>
      </c>
      <c r="K956">
        <f>J956+L956</f>
        <v>16</v>
      </c>
      <c r="L956" s="40">
        <v>3</v>
      </c>
      <c r="M956" s="40">
        <v>8</v>
      </c>
      <c r="N956" s="40">
        <f>168+43</f>
        <v>211</v>
      </c>
      <c r="O956" s="3">
        <f>N956/J956</f>
        <v>16.23076923076923</v>
      </c>
      <c r="P956" s="40">
        <v>0</v>
      </c>
      <c r="Q956" s="40">
        <v>0</v>
      </c>
      <c r="R956" s="40">
        <v>34</v>
      </c>
      <c r="S956" s="40">
        <v>66</v>
      </c>
      <c r="T956" s="40">
        <v>4</v>
      </c>
      <c r="U956" s="40">
        <v>12</v>
      </c>
      <c r="V956" s="40">
        <f>207+136</f>
        <v>343</v>
      </c>
      <c r="W956" s="3">
        <f>V956/S956</f>
        <v>5.1969696969696972</v>
      </c>
      <c r="X956" s="3">
        <f>V956/U956</f>
        <v>28.583333333333332</v>
      </c>
      <c r="Y956" s="4">
        <f>S956*6/U956</f>
        <v>33</v>
      </c>
      <c r="Z956" s="35">
        <v>2</v>
      </c>
      <c r="AA956" s="40">
        <v>0</v>
      </c>
      <c r="AB956" s="40">
        <v>0</v>
      </c>
      <c r="AC956" s="40">
        <v>4</v>
      </c>
    </row>
    <row r="957" spans="1:29" x14ac:dyDescent="0.35">
      <c r="A957" s="1" t="s">
        <v>969</v>
      </c>
      <c r="B957" s="1" t="s">
        <v>541</v>
      </c>
      <c r="C957">
        <f>D957+E957+F957+G957+H957+I957</f>
        <v>3</v>
      </c>
      <c r="D957" s="2">
        <v>0</v>
      </c>
      <c r="E957" s="2">
        <v>0</v>
      </c>
      <c r="F957" s="2">
        <v>3</v>
      </c>
      <c r="G957" s="2">
        <v>0</v>
      </c>
      <c r="H957" s="2">
        <v>0</v>
      </c>
      <c r="I957" s="2">
        <v>0</v>
      </c>
      <c r="J957" s="2">
        <v>1</v>
      </c>
      <c r="K957">
        <f>J957+L957</f>
        <v>1</v>
      </c>
      <c r="L957" s="2">
        <v>0</v>
      </c>
      <c r="M957" s="2">
        <v>2</v>
      </c>
      <c r="N957" s="2">
        <v>0</v>
      </c>
      <c r="O957" s="3">
        <f>N957/J957</f>
        <v>0</v>
      </c>
      <c r="P957" s="2">
        <v>0</v>
      </c>
      <c r="Q957" s="2">
        <v>0</v>
      </c>
      <c r="R957" s="2">
        <v>0</v>
      </c>
      <c r="S957" s="2">
        <v>10</v>
      </c>
      <c r="T957" s="2">
        <v>0</v>
      </c>
      <c r="U957" s="2">
        <v>1</v>
      </c>
      <c r="V957" s="2">
        <v>42</v>
      </c>
      <c r="W957" s="3">
        <f>V957/S957</f>
        <v>4.2</v>
      </c>
      <c r="X957" s="3">
        <f>V957/U957</f>
        <v>42</v>
      </c>
      <c r="Y957" s="4">
        <f>S957*6/U957</f>
        <v>60</v>
      </c>
      <c r="Z957" s="2">
        <v>1</v>
      </c>
      <c r="AA957" s="2">
        <v>0</v>
      </c>
      <c r="AB957" s="2">
        <v>0</v>
      </c>
      <c r="AC957" s="2">
        <v>0</v>
      </c>
    </row>
    <row r="958" spans="1:29" x14ac:dyDescent="0.35">
      <c r="A958" s="1" t="s">
        <v>970</v>
      </c>
      <c r="B958" s="1" t="s">
        <v>325</v>
      </c>
      <c r="C958">
        <f>D958+E958+F958+G958+H958+I958</f>
        <v>3</v>
      </c>
      <c r="D958" s="2">
        <v>0</v>
      </c>
      <c r="E958" s="2">
        <v>0</v>
      </c>
      <c r="F958" s="2">
        <v>0</v>
      </c>
      <c r="G958" s="2">
        <v>1</v>
      </c>
      <c r="H958" s="2">
        <v>2</v>
      </c>
      <c r="I958" s="2">
        <v>0</v>
      </c>
      <c r="J958" s="2">
        <v>2</v>
      </c>
      <c r="K958">
        <f>J958+L958</f>
        <v>2</v>
      </c>
      <c r="L958" s="2">
        <v>0</v>
      </c>
      <c r="M958" s="2">
        <v>0</v>
      </c>
      <c r="N958" s="2">
        <v>15</v>
      </c>
      <c r="O958" s="3">
        <f>N958/J958</f>
        <v>7.5</v>
      </c>
      <c r="P958" s="2">
        <v>0</v>
      </c>
      <c r="Q958" s="2">
        <v>0</v>
      </c>
      <c r="R958" s="2">
        <v>10</v>
      </c>
      <c r="S958" s="2">
        <v>1</v>
      </c>
      <c r="T958" s="2">
        <v>0</v>
      </c>
      <c r="U958" s="2">
        <v>0</v>
      </c>
      <c r="V958" s="2">
        <v>2</v>
      </c>
      <c r="W958" s="3">
        <f>V958/S958</f>
        <v>2</v>
      </c>
      <c r="X958" s="3" t="e">
        <f>V958/U958</f>
        <v>#DIV/0!</v>
      </c>
      <c r="Y958" s="4" t="e">
        <f>S958*6/U958</f>
        <v>#DIV/0!</v>
      </c>
      <c r="Z958" s="2">
        <v>0</v>
      </c>
      <c r="AA958" s="2">
        <v>0</v>
      </c>
      <c r="AB958" s="2">
        <v>0</v>
      </c>
      <c r="AC958" s="2">
        <v>0</v>
      </c>
    </row>
    <row r="959" spans="1:29" x14ac:dyDescent="0.35">
      <c r="A959" s="1" t="s">
        <v>344</v>
      </c>
      <c r="B959" s="1" t="s">
        <v>971</v>
      </c>
      <c r="C959">
        <f>D959+E959+F959+G959+H959+I959</f>
        <v>12</v>
      </c>
      <c r="D959" s="2">
        <v>11</v>
      </c>
      <c r="E959" s="2">
        <v>0</v>
      </c>
      <c r="F959" s="2">
        <v>0</v>
      </c>
      <c r="G959" s="2">
        <v>1</v>
      </c>
      <c r="H959" s="2">
        <v>0</v>
      </c>
      <c r="I959" s="2">
        <v>0</v>
      </c>
      <c r="J959" s="2">
        <v>9</v>
      </c>
      <c r="K959">
        <f>J959+L959</f>
        <v>10</v>
      </c>
      <c r="L959" s="2">
        <v>1</v>
      </c>
      <c r="M959" s="2">
        <v>2</v>
      </c>
      <c r="N959" s="2">
        <v>228</v>
      </c>
      <c r="O959" s="3">
        <f>N959/J959</f>
        <v>25.333333333333332</v>
      </c>
      <c r="P959" s="2">
        <v>1</v>
      </c>
      <c r="Q959" s="2">
        <v>0</v>
      </c>
      <c r="R959" s="2">
        <v>99</v>
      </c>
      <c r="S959" s="2">
        <v>4</v>
      </c>
      <c r="T959" s="2">
        <v>1</v>
      </c>
      <c r="U959" s="2">
        <v>0</v>
      </c>
      <c r="V959" s="2">
        <v>14</v>
      </c>
      <c r="W959" s="3">
        <f>V959/S959</f>
        <v>3.5</v>
      </c>
      <c r="X959" s="3" t="e">
        <f>V959/U959</f>
        <v>#DIV/0!</v>
      </c>
      <c r="Y959" s="4" t="e">
        <f>S959*6/U959</f>
        <v>#DIV/0!</v>
      </c>
      <c r="Z959" s="2">
        <v>0</v>
      </c>
      <c r="AA959" s="2">
        <v>0</v>
      </c>
      <c r="AB959" s="2">
        <v>0</v>
      </c>
      <c r="AC959" s="2">
        <v>2</v>
      </c>
    </row>
    <row r="960" spans="1:29" x14ac:dyDescent="0.35">
      <c r="A960" s="35" t="s">
        <v>1429</v>
      </c>
      <c r="B960" s="35" t="s">
        <v>694</v>
      </c>
      <c r="C960">
        <f>D960+E960+F960+G960+H960+I960</f>
        <v>2</v>
      </c>
      <c r="D960" s="40">
        <v>0</v>
      </c>
      <c r="E960" s="40">
        <v>0</v>
      </c>
      <c r="F960" s="40">
        <v>0</v>
      </c>
      <c r="G960" s="40">
        <v>1</v>
      </c>
      <c r="H960" s="40">
        <v>1</v>
      </c>
      <c r="I960" s="40">
        <v>0</v>
      </c>
      <c r="J960" s="40">
        <v>1</v>
      </c>
      <c r="K960">
        <f>J960+L960</f>
        <v>1</v>
      </c>
      <c r="L960" s="40">
        <v>0</v>
      </c>
      <c r="M960" s="40">
        <v>1</v>
      </c>
      <c r="N960" s="40">
        <v>72</v>
      </c>
      <c r="O960" s="3">
        <f>N960/J960</f>
        <v>72</v>
      </c>
      <c r="P960" s="40">
        <v>1</v>
      </c>
      <c r="Q960" s="40">
        <v>0</v>
      </c>
      <c r="R960" s="40">
        <v>72</v>
      </c>
      <c r="S960" s="40">
        <v>0</v>
      </c>
      <c r="T960" s="40">
        <v>0</v>
      </c>
      <c r="U960" s="40">
        <v>0</v>
      </c>
      <c r="V960" s="40">
        <v>0</v>
      </c>
      <c r="W960" s="3" t="e">
        <f>V960/S960</f>
        <v>#DIV/0!</v>
      </c>
      <c r="X960" s="3" t="e">
        <f>V960/U960</f>
        <v>#DIV/0!</v>
      </c>
      <c r="Y960" s="4" t="e">
        <f>S960*6/U960</f>
        <v>#DIV/0!</v>
      </c>
      <c r="Z960" s="40">
        <v>0</v>
      </c>
      <c r="AA960" s="40">
        <v>0</v>
      </c>
      <c r="AB960" s="40">
        <v>0</v>
      </c>
      <c r="AC960" s="40">
        <v>0</v>
      </c>
    </row>
    <row r="961" spans="1:29" x14ac:dyDescent="0.35">
      <c r="A961" s="1" t="s">
        <v>972</v>
      </c>
      <c r="B961" s="1" t="s">
        <v>71</v>
      </c>
      <c r="C961">
        <f>D961+E961+F961+G961+H961+I961</f>
        <v>49</v>
      </c>
      <c r="D961" s="2">
        <v>43</v>
      </c>
      <c r="E961" s="2">
        <v>5</v>
      </c>
      <c r="F961" s="2">
        <v>0</v>
      </c>
      <c r="G961" s="2">
        <v>0</v>
      </c>
      <c r="H961" s="2">
        <v>0</v>
      </c>
      <c r="I961" s="2">
        <v>1</v>
      </c>
      <c r="J961" s="2">
        <v>34</v>
      </c>
      <c r="K961">
        <f>J961+L961</f>
        <v>45</v>
      </c>
      <c r="L961" s="2">
        <v>11</v>
      </c>
      <c r="M961" s="2">
        <v>7</v>
      </c>
      <c r="N961" s="2">
        <v>531</v>
      </c>
      <c r="O961" s="3">
        <f>N961/J961</f>
        <v>15.617647058823529</v>
      </c>
      <c r="P961" s="2">
        <v>0</v>
      </c>
      <c r="Q961" s="2">
        <v>0</v>
      </c>
      <c r="R961" s="2">
        <v>48</v>
      </c>
      <c r="S961" s="2">
        <v>150</v>
      </c>
      <c r="T961" s="2">
        <v>36</v>
      </c>
      <c r="U961" s="2">
        <v>12</v>
      </c>
      <c r="V961" s="2">
        <v>390</v>
      </c>
      <c r="W961" s="3">
        <f>V961/S961</f>
        <v>2.6</v>
      </c>
      <c r="X961" s="3">
        <f>V961/U961</f>
        <v>32.5</v>
      </c>
      <c r="Y961" s="4">
        <f>S961*6/U961</f>
        <v>75</v>
      </c>
      <c r="Z961" s="2">
        <v>3</v>
      </c>
      <c r="AA961" s="2">
        <v>0</v>
      </c>
      <c r="AB961" s="2">
        <v>0</v>
      </c>
      <c r="AC961" s="2">
        <v>50</v>
      </c>
    </row>
    <row r="962" spans="1:29" x14ac:dyDescent="0.35">
      <c r="A962" s="1" t="s">
        <v>973</v>
      </c>
      <c r="B962" s="1" t="s">
        <v>18</v>
      </c>
      <c r="C962">
        <f>D962+E962+F962+G962+H962+I962</f>
        <v>6</v>
      </c>
      <c r="D962" s="2">
        <v>6</v>
      </c>
      <c r="E962" s="2">
        <v>0</v>
      </c>
      <c r="F962" s="2">
        <v>0</v>
      </c>
      <c r="G962" s="2">
        <v>0</v>
      </c>
      <c r="H962" s="2">
        <v>0</v>
      </c>
      <c r="I962" s="2">
        <v>0</v>
      </c>
      <c r="J962" s="2">
        <v>6</v>
      </c>
      <c r="K962">
        <f>J962+L962</f>
        <v>6</v>
      </c>
      <c r="L962" s="2">
        <v>0</v>
      </c>
      <c r="M962" s="2">
        <v>0</v>
      </c>
      <c r="N962" s="2">
        <v>185</v>
      </c>
      <c r="O962" s="3">
        <f>N962/J962</f>
        <v>30.833333333333332</v>
      </c>
      <c r="P962" s="2">
        <v>1</v>
      </c>
      <c r="Q962" s="2">
        <v>0</v>
      </c>
      <c r="R962" s="2">
        <v>75</v>
      </c>
      <c r="S962" s="2">
        <v>5</v>
      </c>
      <c r="T962" s="2">
        <v>2</v>
      </c>
      <c r="U962" s="2">
        <v>1</v>
      </c>
      <c r="V962" s="2">
        <v>18</v>
      </c>
      <c r="W962" s="3">
        <f>V962/S962</f>
        <v>3.6</v>
      </c>
      <c r="X962" s="3">
        <f>V962/U962</f>
        <v>18</v>
      </c>
      <c r="Y962" s="4">
        <f>S962*6/U962</f>
        <v>30</v>
      </c>
      <c r="Z962" s="2">
        <v>1</v>
      </c>
      <c r="AA962" s="2">
        <v>0</v>
      </c>
      <c r="AB962" s="2">
        <v>0</v>
      </c>
      <c r="AC962" s="2">
        <v>2</v>
      </c>
    </row>
    <row r="963" spans="1:29" x14ac:dyDescent="0.35">
      <c r="A963" s="1" t="s">
        <v>974</v>
      </c>
      <c r="B963" s="1" t="s">
        <v>24</v>
      </c>
      <c r="C963">
        <f>D963+E963+F963+G963+H963+I963</f>
        <v>40</v>
      </c>
      <c r="D963" s="2">
        <v>0</v>
      </c>
      <c r="E963" s="2">
        <v>0</v>
      </c>
      <c r="F963" s="2">
        <v>0</v>
      </c>
      <c r="G963" s="2">
        <v>26</v>
      </c>
      <c r="H963" s="2">
        <v>13</v>
      </c>
      <c r="I963" s="2">
        <v>1</v>
      </c>
      <c r="J963" s="2">
        <v>21</v>
      </c>
      <c r="K963">
        <f>J963+L963</f>
        <v>32</v>
      </c>
      <c r="L963" s="2">
        <v>11</v>
      </c>
      <c r="M963" s="2">
        <v>13</v>
      </c>
      <c r="N963" s="2">
        <v>186</v>
      </c>
      <c r="O963" s="3">
        <f>N963/J963</f>
        <v>8.8571428571428577</v>
      </c>
      <c r="P963" s="2">
        <v>0</v>
      </c>
      <c r="Q963" s="2">
        <v>0</v>
      </c>
      <c r="R963" s="2">
        <v>36</v>
      </c>
      <c r="S963" s="2">
        <v>425</v>
      </c>
      <c r="T963" s="2">
        <v>91</v>
      </c>
      <c r="U963" s="2">
        <v>63</v>
      </c>
      <c r="V963" s="2">
        <v>1220</v>
      </c>
      <c r="W963" s="3">
        <f>V963/S963</f>
        <v>2.8705882352941177</v>
      </c>
      <c r="X963" s="3">
        <f>V963/U963</f>
        <v>19.365079365079364</v>
      </c>
      <c r="Y963" s="4">
        <f>S963*6/U963</f>
        <v>40.476190476190474</v>
      </c>
      <c r="Z963" s="2">
        <v>6</v>
      </c>
      <c r="AA963" s="2">
        <v>2</v>
      </c>
      <c r="AB963" s="2">
        <v>0</v>
      </c>
      <c r="AC963" s="2">
        <v>11</v>
      </c>
    </row>
    <row r="964" spans="1:29" x14ac:dyDescent="0.35">
      <c r="A964" s="1" t="s">
        <v>975</v>
      </c>
      <c r="B964" s="1" t="s">
        <v>976</v>
      </c>
      <c r="C964">
        <f>D964+E964+F964+G964+H964+I964</f>
        <v>39</v>
      </c>
      <c r="D964" s="2">
        <v>0</v>
      </c>
      <c r="E964" s="2">
        <v>0</v>
      </c>
      <c r="F964" s="2">
        <v>9</v>
      </c>
      <c r="G964" s="2">
        <v>12</v>
      </c>
      <c r="H964" s="2">
        <v>2</v>
      </c>
      <c r="I964" s="2">
        <v>16</v>
      </c>
      <c r="J964" s="2">
        <v>23</v>
      </c>
      <c r="K964">
        <f>J964+L964</f>
        <v>34</v>
      </c>
      <c r="L964" s="2">
        <v>11</v>
      </c>
      <c r="M964" s="2">
        <v>15</v>
      </c>
      <c r="N964" s="2">
        <v>243</v>
      </c>
      <c r="O964" s="3">
        <f>N964/J964</f>
        <v>10.565217391304348</v>
      </c>
      <c r="P964" s="2">
        <v>0</v>
      </c>
      <c r="Q964" s="2">
        <v>0</v>
      </c>
      <c r="R964" s="2">
        <v>32</v>
      </c>
      <c r="S964" s="2">
        <v>413</v>
      </c>
      <c r="T964" s="2">
        <v>81</v>
      </c>
      <c r="U964" s="2">
        <v>74</v>
      </c>
      <c r="V964" s="2">
        <v>1139</v>
      </c>
      <c r="W964" s="3">
        <f>V964/S964</f>
        <v>2.7578692493946733</v>
      </c>
      <c r="X964" s="3">
        <f>V964/U964</f>
        <v>15.391891891891891</v>
      </c>
      <c r="Y964" s="4">
        <f>S964*6/U964</f>
        <v>33.486486486486484</v>
      </c>
      <c r="Z964" s="2">
        <v>5</v>
      </c>
      <c r="AA964" s="2">
        <v>2</v>
      </c>
      <c r="AB964" s="2">
        <v>0</v>
      </c>
      <c r="AC964" s="2">
        <v>9</v>
      </c>
    </row>
    <row r="965" spans="1:29" x14ac:dyDescent="0.35">
      <c r="A965" s="1" t="s">
        <v>975</v>
      </c>
      <c r="B965" s="1" t="s">
        <v>18</v>
      </c>
      <c r="C965">
        <f>D965+E965+F965+G965+H965+I965</f>
        <v>29</v>
      </c>
      <c r="D965" s="2">
        <v>0</v>
      </c>
      <c r="E965" s="2">
        <v>0</v>
      </c>
      <c r="F965" s="2">
        <v>2</v>
      </c>
      <c r="G965" s="2">
        <v>14</v>
      </c>
      <c r="H965" s="2">
        <v>10</v>
      </c>
      <c r="I965" s="2">
        <v>3</v>
      </c>
      <c r="J965" s="2">
        <v>18</v>
      </c>
      <c r="K965">
        <f>J965+L965</f>
        <v>26</v>
      </c>
      <c r="L965" s="2">
        <v>8</v>
      </c>
      <c r="M965" s="2">
        <v>4</v>
      </c>
      <c r="N965" s="2">
        <v>626</v>
      </c>
      <c r="O965" s="42">
        <f>N965/J965</f>
        <v>34.777777777777779</v>
      </c>
      <c r="P965" s="2">
        <v>3</v>
      </c>
      <c r="Q965" s="2">
        <v>1</v>
      </c>
      <c r="R965" s="2">
        <v>129</v>
      </c>
      <c r="S965" s="2">
        <v>119</v>
      </c>
      <c r="T965" s="2">
        <v>16</v>
      </c>
      <c r="U965" s="2">
        <v>15</v>
      </c>
      <c r="V965" s="2">
        <v>416</v>
      </c>
      <c r="W965" s="3">
        <f>V965/S965</f>
        <v>3.4957983193277311</v>
      </c>
      <c r="X965" s="3">
        <f>V965/U965</f>
        <v>27.733333333333334</v>
      </c>
      <c r="Y965" s="4">
        <f>S965*6/U965</f>
        <v>47.6</v>
      </c>
      <c r="Z965" s="2">
        <v>3</v>
      </c>
      <c r="AA965" s="2">
        <v>0</v>
      </c>
      <c r="AB965" s="2">
        <v>0</v>
      </c>
      <c r="AC965" s="2">
        <v>5</v>
      </c>
    </row>
    <row r="966" spans="1:29" x14ac:dyDescent="0.35">
      <c r="A966" s="1" t="s">
        <v>977</v>
      </c>
      <c r="B966" s="1" t="s">
        <v>149</v>
      </c>
      <c r="C966">
        <f>D966+E966+F966+G966+H966+I966</f>
        <v>99</v>
      </c>
      <c r="D966" s="2">
        <v>87</v>
      </c>
      <c r="E966" s="2">
        <v>2</v>
      </c>
      <c r="F966" s="2">
        <v>1</v>
      </c>
      <c r="G966" s="2">
        <v>1</v>
      </c>
      <c r="H966" s="2">
        <v>8</v>
      </c>
      <c r="I966" s="2">
        <v>0</v>
      </c>
      <c r="J966" s="2">
        <v>68</v>
      </c>
      <c r="K966">
        <f>J966+L966</f>
        <v>85</v>
      </c>
      <c r="L966" s="2">
        <v>17</v>
      </c>
      <c r="M966" s="2">
        <v>9</v>
      </c>
      <c r="N966" s="2">
        <v>1881</v>
      </c>
      <c r="O966" s="3">
        <f>N966/J966</f>
        <v>27.661764705882351</v>
      </c>
      <c r="P966" s="2">
        <v>9</v>
      </c>
      <c r="Q966" s="2">
        <v>0</v>
      </c>
      <c r="R966" s="2">
        <v>95</v>
      </c>
      <c r="S966" s="2">
        <v>0</v>
      </c>
      <c r="T966" s="2">
        <v>0</v>
      </c>
      <c r="U966" s="2">
        <v>0</v>
      </c>
      <c r="V966" s="2">
        <v>0</v>
      </c>
      <c r="W966" s="3" t="e">
        <f>V966/S966</f>
        <v>#DIV/0!</v>
      </c>
      <c r="X966" s="3" t="e">
        <f>V966/U966</f>
        <v>#DIV/0!</v>
      </c>
      <c r="Y966" s="4" t="e">
        <f>S966*6/U966</f>
        <v>#DIV/0!</v>
      </c>
      <c r="Z966" s="2">
        <v>0</v>
      </c>
      <c r="AA966" s="2">
        <v>0</v>
      </c>
      <c r="AB966" s="2">
        <v>0</v>
      </c>
      <c r="AC966" s="2">
        <v>126</v>
      </c>
    </row>
    <row r="967" spans="1:29" x14ac:dyDescent="0.35">
      <c r="A967" s="1" t="s">
        <v>978</v>
      </c>
      <c r="B967" s="1" t="s">
        <v>395</v>
      </c>
      <c r="C967">
        <f>D967+E967+F967+G967+H967+I967</f>
        <v>1</v>
      </c>
      <c r="D967" s="2">
        <v>0</v>
      </c>
      <c r="E967" s="2">
        <v>0</v>
      </c>
      <c r="F967" s="2">
        <v>0</v>
      </c>
      <c r="G967" s="2">
        <v>0</v>
      </c>
      <c r="H967" s="2">
        <v>1</v>
      </c>
      <c r="I967" s="2">
        <v>0</v>
      </c>
      <c r="J967" s="2">
        <v>1</v>
      </c>
      <c r="K967">
        <f>J967+L967</f>
        <v>1</v>
      </c>
      <c r="L967" s="2">
        <v>0</v>
      </c>
      <c r="M967" s="2">
        <v>0</v>
      </c>
      <c r="N967" s="2">
        <v>0</v>
      </c>
      <c r="O967" s="3">
        <f>N967/J967</f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>
        <v>0</v>
      </c>
      <c r="V967" s="2">
        <v>0</v>
      </c>
      <c r="W967" s="3" t="e">
        <f>V967/S967</f>
        <v>#DIV/0!</v>
      </c>
      <c r="X967" s="3" t="e">
        <f>V967/U967</f>
        <v>#DIV/0!</v>
      </c>
      <c r="Y967" s="4" t="e">
        <f>S967*6/U967</f>
        <v>#DIV/0!</v>
      </c>
      <c r="Z967" s="2">
        <v>0</v>
      </c>
      <c r="AA967" s="2">
        <v>0</v>
      </c>
      <c r="AB967" s="2">
        <v>0</v>
      </c>
      <c r="AC967" s="2">
        <v>0</v>
      </c>
    </row>
    <row r="968" spans="1:29" x14ac:dyDescent="0.35">
      <c r="A968" s="1" t="s">
        <v>979</v>
      </c>
      <c r="B968" s="1" t="s">
        <v>77</v>
      </c>
      <c r="C968">
        <f>D968+E968+F968+G968+H968+I968</f>
        <v>4</v>
      </c>
      <c r="D968" s="2">
        <v>0</v>
      </c>
      <c r="E968" s="2">
        <v>0</v>
      </c>
      <c r="F968" s="2">
        <v>3</v>
      </c>
      <c r="G968" s="2">
        <v>0</v>
      </c>
      <c r="H968" s="2">
        <v>0</v>
      </c>
      <c r="I968" s="2">
        <v>1</v>
      </c>
      <c r="J968" s="2">
        <v>4</v>
      </c>
      <c r="K968">
        <f>J968+L968</f>
        <v>4</v>
      </c>
      <c r="L968" s="2">
        <v>0</v>
      </c>
      <c r="M968" s="2">
        <v>1</v>
      </c>
      <c r="N968" s="2">
        <v>69</v>
      </c>
      <c r="O968" s="3">
        <f>N968/J968</f>
        <v>17.25</v>
      </c>
      <c r="P968" s="2">
        <v>1</v>
      </c>
      <c r="Q968" s="2">
        <v>0</v>
      </c>
      <c r="R968" s="2">
        <v>57</v>
      </c>
      <c r="S968" s="2">
        <v>10</v>
      </c>
      <c r="T968" s="2">
        <v>0</v>
      </c>
      <c r="U968" s="2">
        <v>1</v>
      </c>
      <c r="V968" s="2">
        <v>30</v>
      </c>
      <c r="W968" s="3">
        <f>V968/S968</f>
        <v>3</v>
      </c>
      <c r="X968" s="3">
        <f>V968/U968</f>
        <v>30</v>
      </c>
      <c r="Y968" s="4">
        <f>S968*6/U968</f>
        <v>60</v>
      </c>
      <c r="Z968" s="2">
        <v>1</v>
      </c>
      <c r="AA968" s="2">
        <v>0</v>
      </c>
      <c r="AB968" s="2">
        <v>0</v>
      </c>
      <c r="AC968" s="2">
        <v>1</v>
      </c>
    </row>
    <row r="969" spans="1:29" x14ac:dyDescent="0.35">
      <c r="A969" s="1" t="s">
        <v>980</v>
      </c>
      <c r="B969" s="1" t="s">
        <v>588</v>
      </c>
      <c r="C969">
        <f>D969+E969+F969+G969+H969+I969</f>
        <v>3</v>
      </c>
      <c r="D969" s="2">
        <v>0</v>
      </c>
      <c r="E969" s="2">
        <v>0</v>
      </c>
      <c r="F969" s="2">
        <v>0</v>
      </c>
      <c r="G969" s="2">
        <v>1</v>
      </c>
      <c r="H969" s="2">
        <v>1</v>
      </c>
      <c r="I969" s="2">
        <v>1</v>
      </c>
      <c r="J969" s="2">
        <v>2</v>
      </c>
      <c r="K969">
        <f>J969+L969</f>
        <v>3</v>
      </c>
      <c r="L969" s="2">
        <v>1</v>
      </c>
      <c r="M969" s="2">
        <v>0</v>
      </c>
      <c r="N969" s="2">
        <v>28</v>
      </c>
      <c r="O969" s="3">
        <f>N969/J969</f>
        <v>14</v>
      </c>
      <c r="P969" s="2">
        <v>0</v>
      </c>
      <c r="Q969" s="2">
        <v>0</v>
      </c>
      <c r="R969" s="2">
        <v>18</v>
      </c>
      <c r="S969" s="2">
        <v>6</v>
      </c>
      <c r="T969" s="2">
        <v>0</v>
      </c>
      <c r="U969" s="2">
        <v>0</v>
      </c>
      <c r="V969" s="2">
        <v>42</v>
      </c>
      <c r="W969" s="3">
        <f>V969/S969</f>
        <v>7</v>
      </c>
      <c r="X969" s="3" t="e">
        <f>V969/U969</f>
        <v>#DIV/0!</v>
      </c>
      <c r="Y969" s="4" t="e">
        <f>S969*6/U969</f>
        <v>#DIV/0!</v>
      </c>
      <c r="Z969" s="2">
        <v>0</v>
      </c>
      <c r="AA969" s="2">
        <v>0</v>
      </c>
      <c r="AB969" s="2">
        <v>0</v>
      </c>
      <c r="AC969" s="2">
        <v>1</v>
      </c>
    </row>
    <row r="970" spans="1:29" x14ac:dyDescent="0.35">
      <c r="A970" s="1" t="s">
        <v>981</v>
      </c>
      <c r="B970" s="1" t="s">
        <v>110</v>
      </c>
      <c r="C970">
        <f>D970+E970+F970+G970+H970+I970</f>
        <v>4</v>
      </c>
      <c r="D970" s="2">
        <v>0</v>
      </c>
      <c r="E970" s="2">
        <v>0</v>
      </c>
      <c r="F970" s="2">
        <v>0</v>
      </c>
      <c r="G970" s="2">
        <v>1</v>
      </c>
      <c r="H970" s="2">
        <v>0</v>
      </c>
      <c r="I970" s="2">
        <v>3</v>
      </c>
      <c r="J970" s="2">
        <v>3</v>
      </c>
      <c r="K970">
        <f>J970+L970</f>
        <v>4</v>
      </c>
      <c r="L970" s="2">
        <v>1</v>
      </c>
      <c r="M970" s="2">
        <v>1</v>
      </c>
      <c r="N970" s="2">
        <v>4</v>
      </c>
      <c r="O970" s="3">
        <f>N970/J970</f>
        <v>1.3333333333333333</v>
      </c>
      <c r="P970" s="2">
        <v>0</v>
      </c>
      <c r="Q970" s="2">
        <v>0</v>
      </c>
      <c r="R970" s="2">
        <v>2</v>
      </c>
      <c r="S970" s="2">
        <v>44</v>
      </c>
      <c r="T970" s="2">
        <v>8</v>
      </c>
      <c r="U970" s="2">
        <v>7</v>
      </c>
      <c r="V970" s="2">
        <v>142</v>
      </c>
      <c r="W970" s="3">
        <f>V970/S970</f>
        <v>3.2272727272727271</v>
      </c>
      <c r="X970" s="3">
        <f>V970/U970</f>
        <v>20.285714285714285</v>
      </c>
      <c r="Y970" s="4">
        <f>S970*6/U970</f>
        <v>37.714285714285715</v>
      </c>
      <c r="Z970" s="2">
        <v>4</v>
      </c>
      <c r="AA970" s="2">
        <v>0</v>
      </c>
      <c r="AB970" s="2">
        <v>0</v>
      </c>
      <c r="AC970" s="2">
        <v>3</v>
      </c>
    </row>
    <row r="971" spans="1:29" x14ac:dyDescent="0.35">
      <c r="A971" s="1" t="s">
        <v>982</v>
      </c>
      <c r="B971" s="1" t="s">
        <v>983</v>
      </c>
      <c r="C971">
        <f>D971+E971+F971+G971+H971+I971</f>
        <v>3</v>
      </c>
      <c r="D971" s="2">
        <v>2</v>
      </c>
      <c r="E971" s="2">
        <v>1</v>
      </c>
      <c r="F971" s="2">
        <v>0</v>
      </c>
      <c r="G971" s="2">
        <v>0</v>
      </c>
      <c r="H971" s="2">
        <v>0</v>
      </c>
      <c r="I971" s="2">
        <v>0</v>
      </c>
      <c r="J971" s="2">
        <v>1</v>
      </c>
      <c r="K971">
        <f>J971+L971</f>
        <v>3</v>
      </c>
      <c r="L971" s="2">
        <v>2</v>
      </c>
      <c r="M971" s="2">
        <v>0</v>
      </c>
      <c r="N971" s="2">
        <v>19</v>
      </c>
      <c r="O971" s="3">
        <f>N971/J971</f>
        <v>19</v>
      </c>
      <c r="P971" s="2">
        <v>0</v>
      </c>
      <c r="Q971" s="2">
        <v>0</v>
      </c>
      <c r="R971" s="2">
        <v>18</v>
      </c>
      <c r="S971" s="2">
        <v>20</v>
      </c>
      <c r="T971" s="2">
        <v>2</v>
      </c>
      <c r="U971" s="2">
        <v>6</v>
      </c>
      <c r="V971" s="2">
        <v>63</v>
      </c>
      <c r="W971" s="3">
        <f>V971/S971</f>
        <v>3.15</v>
      </c>
      <c r="X971" s="3">
        <f>V971/U971</f>
        <v>10.5</v>
      </c>
      <c r="Y971" s="4">
        <f>S971*6/U971</f>
        <v>20</v>
      </c>
      <c r="Z971" s="2">
        <v>3</v>
      </c>
      <c r="AA971" s="2">
        <v>0</v>
      </c>
      <c r="AB971" s="2">
        <v>0</v>
      </c>
      <c r="AC971" s="2">
        <v>1</v>
      </c>
    </row>
    <row r="972" spans="1:29" x14ac:dyDescent="0.35">
      <c r="A972" s="1" t="s">
        <v>984</v>
      </c>
      <c r="B972" s="1" t="s">
        <v>985</v>
      </c>
      <c r="C972">
        <f>D972+E972+F972+G972+H972+I972</f>
        <v>29</v>
      </c>
      <c r="D972" s="2">
        <v>0</v>
      </c>
      <c r="E972" s="2">
        <v>0</v>
      </c>
      <c r="F972" s="2">
        <v>0</v>
      </c>
      <c r="G972" s="2">
        <v>29</v>
      </c>
      <c r="H972" s="2">
        <v>0</v>
      </c>
      <c r="I972" s="2">
        <v>0</v>
      </c>
      <c r="J972" s="2">
        <v>17</v>
      </c>
      <c r="K972">
        <f>J972+L972</f>
        <v>25</v>
      </c>
      <c r="L972" s="2">
        <v>8</v>
      </c>
      <c r="M972" s="2">
        <v>4</v>
      </c>
      <c r="N972" s="2">
        <v>926</v>
      </c>
      <c r="O972" s="3">
        <f>N972/J972</f>
        <v>54.470588235294116</v>
      </c>
      <c r="P972" s="2">
        <v>2</v>
      </c>
      <c r="Q972" s="2">
        <v>3</v>
      </c>
      <c r="R972" s="2">
        <v>150</v>
      </c>
      <c r="S972" s="2">
        <v>122</v>
      </c>
      <c r="T972" s="2">
        <v>13</v>
      </c>
      <c r="U972" s="2">
        <v>29</v>
      </c>
      <c r="V972" s="2">
        <v>456</v>
      </c>
      <c r="W972" s="3">
        <f>V972/S972</f>
        <v>3.737704918032787</v>
      </c>
      <c r="X972" s="3">
        <f>V972/U972</f>
        <v>15.724137931034482</v>
      </c>
      <c r="Y972" s="4">
        <f>S972*6/U972</f>
        <v>25.241379310344829</v>
      </c>
      <c r="Z972" s="2">
        <v>3</v>
      </c>
      <c r="AA972" s="2">
        <v>0</v>
      </c>
      <c r="AB972" s="2">
        <v>0</v>
      </c>
      <c r="AC972" s="2">
        <v>5</v>
      </c>
    </row>
    <row r="973" spans="1:29" x14ac:dyDescent="0.35">
      <c r="A973" s="1" t="s">
        <v>986</v>
      </c>
      <c r="B973" s="1" t="s">
        <v>987</v>
      </c>
      <c r="C973">
        <f>D973+E973+F973+G973+H973+I973</f>
        <v>4</v>
      </c>
      <c r="D973" s="2">
        <v>0</v>
      </c>
      <c r="E973" s="2">
        <v>0</v>
      </c>
      <c r="F973" s="2">
        <v>4</v>
      </c>
      <c r="G973" s="2">
        <v>0</v>
      </c>
      <c r="H973" s="2">
        <v>0</v>
      </c>
      <c r="I973" s="2">
        <v>0</v>
      </c>
      <c r="J973" s="2">
        <v>2</v>
      </c>
      <c r="K973">
        <f>J973+L973</f>
        <v>3</v>
      </c>
      <c r="L973" s="2">
        <v>1</v>
      </c>
      <c r="M973" s="2">
        <v>1</v>
      </c>
      <c r="N973" s="2">
        <v>20</v>
      </c>
      <c r="O973" s="3">
        <f>N973/J973</f>
        <v>10</v>
      </c>
      <c r="P973" s="2">
        <v>0</v>
      </c>
      <c r="Q973" s="2">
        <v>0</v>
      </c>
      <c r="R973" s="2">
        <v>18</v>
      </c>
      <c r="S973" s="2">
        <v>4</v>
      </c>
      <c r="T973" s="2">
        <v>0</v>
      </c>
      <c r="U973" s="2">
        <v>1</v>
      </c>
      <c r="V973" s="2">
        <v>30</v>
      </c>
      <c r="W973" s="3">
        <f>V973/S973</f>
        <v>7.5</v>
      </c>
      <c r="X973" s="3">
        <f>V973/U973</f>
        <v>30</v>
      </c>
      <c r="Y973" s="4">
        <f>S973*6/U973</f>
        <v>24</v>
      </c>
      <c r="Z973" s="2">
        <v>1</v>
      </c>
      <c r="AA973" s="2">
        <v>0</v>
      </c>
      <c r="AB973" s="2">
        <v>0</v>
      </c>
      <c r="AC973" s="2">
        <v>0</v>
      </c>
    </row>
    <row r="974" spans="1:29" x14ac:dyDescent="0.35">
      <c r="A974" s="1" t="s">
        <v>988</v>
      </c>
      <c r="B974" s="1" t="s">
        <v>989</v>
      </c>
      <c r="C974">
        <f>D974+E974+F974+G974+H974+I974</f>
        <v>3</v>
      </c>
      <c r="D974" s="2">
        <v>0</v>
      </c>
      <c r="E974" s="2">
        <v>0</v>
      </c>
      <c r="F974" s="2">
        <v>3</v>
      </c>
      <c r="G974" s="2">
        <v>0</v>
      </c>
      <c r="H974" s="2">
        <v>0</v>
      </c>
      <c r="I974" s="2">
        <v>0</v>
      </c>
      <c r="J974" s="2">
        <v>3</v>
      </c>
      <c r="K974">
        <f>J974+L974</f>
        <v>3</v>
      </c>
      <c r="L974" s="2">
        <v>0</v>
      </c>
      <c r="M974" s="2">
        <v>1</v>
      </c>
      <c r="N974" s="2">
        <v>3</v>
      </c>
      <c r="O974" s="3">
        <f>N974/J974</f>
        <v>1</v>
      </c>
      <c r="P974" s="2">
        <v>0</v>
      </c>
      <c r="Q974" s="2">
        <v>0</v>
      </c>
      <c r="R974" s="2">
        <v>3</v>
      </c>
      <c r="S974" s="2">
        <v>11</v>
      </c>
      <c r="T974" s="2">
        <v>1</v>
      </c>
      <c r="U974" s="2">
        <v>2</v>
      </c>
      <c r="V974" s="2">
        <v>73</v>
      </c>
      <c r="W974" s="3">
        <f>V974/S974</f>
        <v>6.6363636363636367</v>
      </c>
      <c r="X974" s="3">
        <f>V974/U974</f>
        <v>36.5</v>
      </c>
      <c r="Y974" s="4">
        <f>S974*6/U974</f>
        <v>33</v>
      </c>
      <c r="Z974" s="2">
        <v>1</v>
      </c>
      <c r="AA974" s="2">
        <v>0</v>
      </c>
      <c r="AB974" s="2">
        <v>0</v>
      </c>
      <c r="AC974" s="2">
        <v>0</v>
      </c>
    </row>
    <row r="975" spans="1:29" x14ac:dyDescent="0.35">
      <c r="A975" s="1" t="s">
        <v>990</v>
      </c>
      <c r="B975" s="1" t="s">
        <v>77</v>
      </c>
      <c r="C975">
        <f>D975+E975+F975+G975+H975+I975</f>
        <v>10</v>
      </c>
      <c r="D975" s="2">
        <v>8</v>
      </c>
      <c r="E975" s="2">
        <v>1</v>
      </c>
      <c r="F975" s="2">
        <v>0</v>
      </c>
      <c r="G975" s="2">
        <v>1</v>
      </c>
      <c r="H975" s="2">
        <v>0</v>
      </c>
      <c r="I975" s="2">
        <v>0</v>
      </c>
      <c r="J975" s="2">
        <v>10</v>
      </c>
      <c r="K975">
        <f>J975+L975</f>
        <v>12</v>
      </c>
      <c r="L975" s="2">
        <v>2</v>
      </c>
      <c r="M975" s="2">
        <v>0</v>
      </c>
      <c r="N975" s="2">
        <v>277</v>
      </c>
      <c r="O975" s="3">
        <f>N975/J975</f>
        <v>27.7</v>
      </c>
      <c r="P975" s="2">
        <v>0</v>
      </c>
      <c r="Q975" s="2">
        <v>0</v>
      </c>
      <c r="R975" s="2">
        <v>48</v>
      </c>
      <c r="S975" s="2">
        <v>0</v>
      </c>
      <c r="T975" s="2">
        <v>0</v>
      </c>
      <c r="U975" s="2">
        <v>0</v>
      </c>
      <c r="V975" s="2">
        <v>0</v>
      </c>
      <c r="W975" s="3" t="e">
        <f>V975/S975</f>
        <v>#DIV/0!</v>
      </c>
      <c r="X975" s="3" t="e">
        <f>V975/U975</f>
        <v>#DIV/0!</v>
      </c>
      <c r="Y975" s="4" t="e">
        <f>S975*6/U975</f>
        <v>#DIV/0!</v>
      </c>
      <c r="Z975" s="2">
        <v>0</v>
      </c>
      <c r="AA975" s="2">
        <v>0</v>
      </c>
      <c r="AB975" s="2">
        <v>0</v>
      </c>
      <c r="AC975" s="2">
        <v>3</v>
      </c>
    </row>
    <row r="976" spans="1:29" x14ac:dyDescent="0.35">
      <c r="A976" s="1" t="s">
        <v>991</v>
      </c>
      <c r="B976" s="1" t="s">
        <v>564</v>
      </c>
      <c r="C976">
        <f>D976+E976+F976+G976+H976+I976</f>
        <v>3</v>
      </c>
      <c r="D976" s="2">
        <v>0</v>
      </c>
      <c r="E976" s="2">
        <v>1</v>
      </c>
      <c r="F976" s="2">
        <v>2</v>
      </c>
      <c r="G976" s="2">
        <v>0</v>
      </c>
      <c r="H976" s="2">
        <v>0</v>
      </c>
      <c r="I976" s="2">
        <v>0</v>
      </c>
      <c r="J976" s="2">
        <v>4</v>
      </c>
      <c r="K976">
        <f>J976+L976</f>
        <v>4</v>
      </c>
      <c r="L976" s="2">
        <v>0</v>
      </c>
      <c r="M976" s="2">
        <v>1</v>
      </c>
      <c r="N976" s="2">
        <v>6</v>
      </c>
      <c r="O976" s="3">
        <f>N976/J976</f>
        <v>1.5</v>
      </c>
      <c r="P976" s="2">
        <v>0</v>
      </c>
      <c r="Q976" s="2">
        <v>0</v>
      </c>
      <c r="R976" s="2">
        <v>3</v>
      </c>
      <c r="S976" s="2">
        <v>14</v>
      </c>
      <c r="T976" s="2">
        <v>0</v>
      </c>
      <c r="U976" s="2">
        <v>1</v>
      </c>
      <c r="V976" s="2">
        <v>64</v>
      </c>
      <c r="W976" s="3">
        <f>V976/S976</f>
        <v>4.5714285714285712</v>
      </c>
      <c r="X976" s="3">
        <f>V976/U976</f>
        <v>64</v>
      </c>
      <c r="Y976" s="4">
        <f>S976*6/U976</f>
        <v>84</v>
      </c>
      <c r="Z976" s="2">
        <v>1</v>
      </c>
      <c r="AA976" s="2">
        <v>0</v>
      </c>
      <c r="AB976" s="2">
        <v>0</v>
      </c>
      <c r="AC976" s="2">
        <v>0</v>
      </c>
    </row>
    <row r="977" spans="1:29" x14ac:dyDescent="0.35">
      <c r="A977" s="1" t="s">
        <v>992</v>
      </c>
      <c r="B977" s="1" t="s">
        <v>993</v>
      </c>
      <c r="C977">
        <f>D977+E977+F977+G977+H977+I977</f>
        <v>9</v>
      </c>
      <c r="D977" s="2">
        <v>1</v>
      </c>
      <c r="E977" s="2">
        <v>7</v>
      </c>
      <c r="F977" s="2">
        <v>0</v>
      </c>
      <c r="G977" s="2">
        <v>0</v>
      </c>
      <c r="H977" s="2">
        <v>0</v>
      </c>
      <c r="I977" s="2">
        <v>1</v>
      </c>
      <c r="J977" s="2">
        <v>11</v>
      </c>
      <c r="K977">
        <f>J977+L977</f>
        <v>12</v>
      </c>
      <c r="L977" s="2">
        <v>1</v>
      </c>
      <c r="M977" s="2">
        <v>1</v>
      </c>
      <c r="N977" s="2">
        <v>234</v>
      </c>
      <c r="O977" s="3">
        <f>N977/J977</f>
        <v>21.272727272727273</v>
      </c>
      <c r="P977" s="2">
        <v>0</v>
      </c>
      <c r="Q977" s="2">
        <v>0</v>
      </c>
      <c r="R977" s="2">
        <v>42</v>
      </c>
      <c r="S977" s="2">
        <v>13</v>
      </c>
      <c r="T977" s="2">
        <v>5</v>
      </c>
      <c r="U977" s="2">
        <v>2</v>
      </c>
      <c r="V977" s="2">
        <v>19</v>
      </c>
      <c r="W977" s="3">
        <f>V977/S977</f>
        <v>1.4615384615384615</v>
      </c>
      <c r="X977" s="3">
        <f>V977/U977</f>
        <v>9.5</v>
      </c>
      <c r="Y977" s="4">
        <f>S977*6/U977</f>
        <v>39</v>
      </c>
      <c r="Z977" s="2">
        <v>1</v>
      </c>
      <c r="AA977" s="2">
        <v>0</v>
      </c>
      <c r="AB977" s="2">
        <v>0</v>
      </c>
      <c r="AC977" s="2">
        <v>0</v>
      </c>
    </row>
    <row r="978" spans="1:29" x14ac:dyDescent="0.35">
      <c r="A978" s="1" t="s">
        <v>994</v>
      </c>
      <c r="B978" s="1" t="s">
        <v>995</v>
      </c>
      <c r="C978">
        <f>D978+E978+F978+G978+H978+I978</f>
        <v>2</v>
      </c>
      <c r="D978" s="2">
        <v>0</v>
      </c>
      <c r="E978" s="2">
        <v>0</v>
      </c>
      <c r="F978" s="2">
        <v>0</v>
      </c>
      <c r="G978" s="2">
        <v>2</v>
      </c>
      <c r="H978" s="2">
        <v>0</v>
      </c>
      <c r="I978" s="2">
        <v>0</v>
      </c>
      <c r="J978" s="2">
        <v>2</v>
      </c>
      <c r="K978">
        <f>J978+L978</f>
        <v>2</v>
      </c>
      <c r="L978" s="2">
        <v>0</v>
      </c>
      <c r="M978" s="2">
        <v>1</v>
      </c>
      <c r="N978" s="2">
        <v>9</v>
      </c>
      <c r="O978" s="3">
        <f>N978/J978</f>
        <v>4.5</v>
      </c>
      <c r="P978" s="2">
        <v>0</v>
      </c>
      <c r="Q978" s="2">
        <v>0</v>
      </c>
      <c r="R978" s="2">
        <v>9</v>
      </c>
      <c r="S978" s="2">
        <v>1</v>
      </c>
      <c r="T978" s="2">
        <v>0</v>
      </c>
      <c r="U978" s="2">
        <v>0</v>
      </c>
      <c r="V978" s="2">
        <v>21</v>
      </c>
      <c r="W978" s="3">
        <f>V978/S978</f>
        <v>21</v>
      </c>
      <c r="X978" s="3" t="e">
        <f>V978/U978</f>
        <v>#DIV/0!</v>
      </c>
      <c r="Y978" s="4" t="e">
        <f>S978*6/U978</f>
        <v>#DIV/0!</v>
      </c>
      <c r="Z978" s="2">
        <v>0</v>
      </c>
      <c r="AA978" s="2">
        <v>0</v>
      </c>
      <c r="AB978" s="2">
        <v>0</v>
      </c>
      <c r="AC978" s="2">
        <v>0</v>
      </c>
    </row>
    <row r="979" spans="1:29" x14ac:dyDescent="0.35">
      <c r="A979" s="15" t="s">
        <v>996</v>
      </c>
      <c r="B979" s="15" t="s">
        <v>561</v>
      </c>
      <c r="C979" s="18">
        <f>D979+E979+F979+G979+H979+I979</f>
        <v>137</v>
      </c>
      <c r="D979" s="16">
        <v>50</v>
      </c>
      <c r="E979" s="16">
        <f>68+7</f>
        <v>75</v>
      </c>
      <c r="F979" s="16">
        <v>9</v>
      </c>
      <c r="G979" s="16">
        <v>2</v>
      </c>
      <c r="H979" s="16">
        <v>1</v>
      </c>
      <c r="I979" s="16">
        <v>0</v>
      </c>
      <c r="J979" s="16">
        <v>138</v>
      </c>
      <c r="K979" s="18">
        <f>J979+L979</f>
        <v>147</v>
      </c>
      <c r="L979" s="16">
        <v>9</v>
      </c>
      <c r="M979" s="16">
        <v>4</v>
      </c>
      <c r="N979" s="16">
        <f>2707+179</f>
        <v>2886</v>
      </c>
      <c r="O979" s="19">
        <f>N979/J979</f>
        <v>20.913043478260871</v>
      </c>
      <c r="P979" s="16">
        <v>14</v>
      </c>
      <c r="Q979" s="16">
        <v>1</v>
      </c>
      <c r="R979" s="16">
        <v>107</v>
      </c>
      <c r="S979" s="16">
        <f>68.3+29</f>
        <v>97.3</v>
      </c>
      <c r="T979" s="16">
        <v>10</v>
      </c>
      <c r="U979" s="16">
        <v>19</v>
      </c>
      <c r="V979" s="16">
        <f>295+88</f>
        <v>383</v>
      </c>
      <c r="W979" s="19">
        <f>V979/S979</f>
        <v>3.9362795477903392</v>
      </c>
      <c r="X979" s="19">
        <f>V979/U979</f>
        <v>20.157894736842106</v>
      </c>
      <c r="Y979" s="20">
        <f>S979*6/U979</f>
        <v>30.726315789473681</v>
      </c>
      <c r="Z979" s="22" t="s">
        <v>1125</v>
      </c>
      <c r="AA979" s="16">
        <v>0</v>
      </c>
      <c r="AB979" s="16">
        <v>0</v>
      </c>
      <c r="AC979" s="16">
        <v>85</v>
      </c>
    </row>
    <row r="980" spans="1:29" x14ac:dyDescent="0.35">
      <c r="A980" s="1" t="s">
        <v>996</v>
      </c>
      <c r="B980" s="1" t="s">
        <v>124</v>
      </c>
      <c r="C980">
        <f>D980+E980+F980+G980+H980+I980</f>
        <v>7</v>
      </c>
      <c r="D980" s="2">
        <v>0</v>
      </c>
      <c r="E980" s="2">
        <v>0</v>
      </c>
      <c r="F980" s="2">
        <v>0</v>
      </c>
      <c r="G980" s="2">
        <v>7</v>
      </c>
      <c r="H980" s="2">
        <v>0</v>
      </c>
      <c r="I980" s="2">
        <v>0</v>
      </c>
      <c r="J980" s="2">
        <v>5</v>
      </c>
      <c r="K980">
        <f>J980+L980</f>
        <v>7</v>
      </c>
      <c r="L980" s="2">
        <v>2</v>
      </c>
      <c r="M980" s="2">
        <v>1</v>
      </c>
      <c r="N980" s="2">
        <v>80</v>
      </c>
      <c r="O980" s="3">
        <f>N980/J980</f>
        <v>16</v>
      </c>
      <c r="P980" s="2">
        <v>0</v>
      </c>
      <c r="Q980" s="2">
        <v>0</v>
      </c>
      <c r="R980" s="2">
        <v>34</v>
      </c>
      <c r="S980" s="2">
        <v>37</v>
      </c>
      <c r="T980" s="2">
        <v>5</v>
      </c>
      <c r="U980" s="2">
        <v>3</v>
      </c>
      <c r="V980" s="2">
        <v>167</v>
      </c>
      <c r="W980" s="3">
        <f>V980/S980</f>
        <v>4.5135135135135132</v>
      </c>
      <c r="X980" s="3">
        <f>V980/U980</f>
        <v>55.666666666666664</v>
      </c>
      <c r="Y980" s="4">
        <f>S980*6/U980</f>
        <v>74</v>
      </c>
      <c r="Z980" s="40">
        <v>2</v>
      </c>
      <c r="AA980" s="2">
        <v>0</v>
      </c>
      <c r="AB980" s="2">
        <v>0</v>
      </c>
      <c r="AC980" s="2">
        <v>1</v>
      </c>
    </row>
    <row r="981" spans="1:29" x14ac:dyDescent="0.35">
      <c r="A981" s="1" t="s">
        <v>996</v>
      </c>
      <c r="B981" s="1" t="s">
        <v>997</v>
      </c>
      <c r="C981">
        <f>D981+E981+F981+G981+H981+I981</f>
        <v>1</v>
      </c>
      <c r="D981" s="2">
        <v>0</v>
      </c>
      <c r="E981" s="2">
        <v>1</v>
      </c>
      <c r="F981" s="2">
        <v>0</v>
      </c>
      <c r="G981" s="2">
        <v>0</v>
      </c>
      <c r="H981" s="2">
        <v>0</v>
      </c>
      <c r="I981" s="2">
        <v>0</v>
      </c>
      <c r="J981" s="2">
        <v>1</v>
      </c>
      <c r="K981">
        <f>J981+L981</f>
        <v>1</v>
      </c>
      <c r="L981" s="2">
        <v>0</v>
      </c>
      <c r="M981" s="2">
        <v>0</v>
      </c>
      <c r="N981" s="2">
        <v>0</v>
      </c>
      <c r="O981" s="3">
        <f>N981/J981</f>
        <v>0</v>
      </c>
      <c r="P981" s="2">
        <v>0</v>
      </c>
      <c r="Q981" s="2">
        <v>0</v>
      </c>
      <c r="R981" s="2">
        <v>0</v>
      </c>
      <c r="S981" s="2">
        <v>0</v>
      </c>
      <c r="T981" s="2">
        <v>0</v>
      </c>
      <c r="U981" s="2">
        <v>0</v>
      </c>
      <c r="V981" s="2">
        <v>0</v>
      </c>
      <c r="W981" s="3" t="e">
        <f>V981/S981</f>
        <v>#DIV/0!</v>
      </c>
      <c r="X981" s="3" t="e">
        <f>V981/U981</f>
        <v>#DIV/0!</v>
      </c>
      <c r="Y981" s="4" t="e">
        <f>S981*6/U981</f>
        <v>#DIV/0!</v>
      </c>
      <c r="Z981" s="2">
        <v>0</v>
      </c>
      <c r="AA981" s="2">
        <v>0</v>
      </c>
      <c r="AB981" s="2">
        <v>0</v>
      </c>
      <c r="AC981" s="2">
        <v>0</v>
      </c>
    </row>
    <row r="982" spans="1:29" x14ac:dyDescent="0.35">
      <c r="A982" s="1" t="s">
        <v>996</v>
      </c>
      <c r="B982" s="1" t="s">
        <v>998</v>
      </c>
      <c r="C982">
        <f>D982+E982+F982+G982+H982+I982</f>
        <v>1</v>
      </c>
      <c r="D982" s="2">
        <v>0</v>
      </c>
      <c r="E982" s="2">
        <v>0</v>
      </c>
      <c r="F982" s="2">
        <v>1</v>
      </c>
      <c r="G982" s="2">
        <v>0</v>
      </c>
      <c r="H982" s="2">
        <v>0</v>
      </c>
      <c r="I982" s="2">
        <v>0</v>
      </c>
      <c r="J982" s="2">
        <v>1</v>
      </c>
      <c r="K982">
        <f>J982+L982</f>
        <v>1</v>
      </c>
      <c r="L982" s="2">
        <v>0</v>
      </c>
      <c r="M982" s="2">
        <v>1</v>
      </c>
      <c r="N982" s="2">
        <v>0</v>
      </c>
      <c r="O982" s="3">
        <f>N982/J982</f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>
        <v>0</v>
      </c>
      <c r="V982" s="2">
        <v>0</v>
      </c>
      <c r="W982" s="3" t="e">
        <f>V982/S982</f>
        <v>#DIV/0!</v>
      </c>
      <c r="X982" s="3" t="e">
        <f>V982/U982</f>
        <v>#DIV/0!</v>
      </c>
      <c r="Y982" s="4" t="e">
        <f>S982*6/U982</f>
        <v>#DIV/0!</v>
      </c>
      <c r="Z982" s="2">
        <v>0</v>
      </c>
      <c r="AA982" s="2">
        <v>0</v>
      </c>
      <c r="AB982" s="2">
        <v>0</v>
      </c>
      <c r="AC982" s="2">
        <v>0</v>
      </c>
    </row>
    <row r="983" spans="1:29" x14ac:dyDescent="0.35">
      <c r="A983" s="1" t="s">
        <v>999</v>
      </c>
      <c r="B983" s="1" t="s">
        <v>1000</v>
      </c>
      <c r="C983">
        <f>D983+E983+F983+G983+H983+I983</f>
        <v>1</v>
      </c>
      <c r="D983" s="2">
        <v>0</v>
      </c>
      <c r="E983" s="2">
        <v>0</v>
      </c>
      <c r="F983" s="2">
        <v>0</v>
      </c>
      <c r="G983" s="2">
        <v>0</v>
      </c>
      <c r="H983" s="2">
        <v>0</v>
      </c>
      <c r="I983" s="2">
        <v>1</v>
      </c>
      <c r="J983" s="2">
        <v>0</v>
      </c>
      <c r="K983">
        <f>J983+L983</f>
        <v>0</v>
      </c>
      <c r="L983" s="2">
        <v>0</v>
      </c>
      <c r="M983" s="2">
        <v>1</v>
      </c>
      <c r="N983" s="2">
        <v>0</v>
      </c>
      <c r="O983" s="3" t="e">
        <f>N983/J983</f>
        <v>#DIV/0!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>
        <v>0</v>
      </c>
      <c r="V983" s="2">
        <v>0</v>
      </c>
      <c r="W983" s="3" t="e">
        <f>V983/S983</f>
        <v>#DIV/0!</v>
      </c>
      <c r="X983" s="3" t="e">
        <f>V983/U983</f>
        <v>#DIV/0!</v>
      </c>
      <c r="Y983" s="4" t="e">
        <f>S983*6/U983</f>
        <v>#DIV/0!</v>
      </c>
      <c r="Z983" s="2">
        <v>0</v>
      </c>
      <c r="AA983" s="2">
        <v>0</v>
      </c>
      <c r="AB983" s="2">
        <v>0</v>
      </c>
      <c r="AC983" s="2">
        <v>0</v>
      </c>
    </row>
    <row r="984" spans="1:29" x14ac:dyDescent="0.35">
      <c r="A984" s="1" t="s">
        <v>1001</v>
      </c>
      <c r="B984" s="1" t="s">
        <v>175</v>
      </c>
      <c r="C984">
        <f>D984+E984+F984+G984+H984+I984</f>
        <v>1</v>
      </c>
      <c r="D984" s="2">
        <v>0</v>
      </c>
      <c r="E984" s="2">
        <v>1</v>
      </c>
      <c r="F984" s="2">
        <v>0</v>
      </c>
      <c r="G984" s="2">
        <v>0</v>
      </c>
      <c r="H984" s="2">
        <v>0</v>
      </c>
      <c r="I984" s="2">
        <v>0</v>
      </c>
      <c r="J984" s="2">
        <v>1</v>
      </c>
      <c r="K984">
        <f>J984+L984</f>
        <v>1</v>
      </c>
      <c r="L984" s="2">
        <v>0</v>
      </c>
      <c r="M984" s="2">
        <v>0</v>
      </c>
      <c r="N984" s="2">
        <v>2</v>
      </c>
      <c r="O984" s="3">
        <f>N984/J984</f>
        <v>2</v>
      </c>
      <c r="P984" s="2">
        <v>0</v>
      </c>
      <c r="Q984" s="2">
        <v>0</v>
      </c>
      <c r="R984" s="2">
        <v>2</v>
      </c>
      <c r="S984" s="2">
        <v>4</v>
      </c>
      <c r="T984" s="2">
        <v>0</v>
      </c>
      <c r="U984" s="2">
        <v>1</v>
      </c>
      <c r="V984" s="2">
        <v>38</v>
      </c>
      <c r="W984" s="3">
        <f>V984/S984</f>
        <v>9.5</v>
      </c>
      <c r="X984" s="3">
        <f>V984/U984</f>
        <v>38</v>
      </c>
      <c r="Y984" s="4">
        <f>S984*6/U984</f>
        <v>24</v>
      </c>
      <c r="Z984" s="2">
        <v>1</v>
      </c>
      <c r="AA984" s="2">
        <v>0</v>
      </c>
      <c r="AB984" s="2">
        <v>0</v>
      </c>
      <c r="AC984" s="2">
        <v>0</v>
      </c>
    </row>
    <row r="985" spans="1:29" x14ac:dyDescent="0.35">
      <c r="A985" s="1" t="s">
        <v>1001</v>
      </c>
      <c r="B985" s="1" t="s">
        <v>229</v>
      </c>
      <c r="C985">
        <f>D985+E985+F985+G985+H985+I985</f>
        <v>1</v>
      </c>
      <c r="D985" s="2">
        <v>0</v>
      </c>
      <c r="E985" s="2">
        <v>1</v>
      </c>
      <c r="F985" s="2">
        <v>0</v>
      </c>
      <c r="G985" s="2">
        <v>0</v>
      </c>
      <c r="H985" s="2">
        <v>0</v>
      </c>
      <c r="I985" s="2">
        <v>0</v>
      </c>
      <c r="J985" s="2">
        <v>1</v>
      </c>
      <c r="K985">
        <f>J985+L985</f>
        <v>1</v>
      </c>
      <c r="L985" s="2">
        <v>0</v>
      </c>
      <c r="M985" s="2">
        <v>0</v>
      </c>
      <c r="N985" s="2">
        <v>24</v>
      </c>
      <c r="O985" s="3">
        <f>N985/J985</f>
        <v>24</v>
      </c>
      <c r="P985" s="2">
        <v>0</v>
      </c>
      <c r="Q985" s="2">
        <v>0</v>
      </c>
      <c r="R985" s="2">
        <v>24</v>
      </c>
      <c r="S985" s="2">
        <v>2</v>
      </c>
      <c r="T985" s="2">
        <v>0</v>
      </c>
      <c r="U985" s="2">
        <v>0</v>
      </c>
      <c r="V985" s="2">
        <v>22</v>
      </c>
      <c r="W985" s="3">
        <f>V985/S985</f>
        <v>11</v>
      </c>
      <c r="X985" s="3" t="e">
        <f>V985/U985</f>
        <v>#DIV/0!</v>
      </c>
      <c r="Y985" s="4" t="e">
        <f>S985*6/U985</f>
        <v>#DIV/0!</v>
      </c>
      <c r="Z985" s="2">
        <v>0</v>
      </c>
      <c r="AA985" s="2">
        <v>0</v>
      </c>
      <c r="AB985" s="2">
        <v>0</v>
      </c>
      <c r="AC985" s="2">
        <v>0</v>
      </c>
    </row>
    <row r="986" spans="1:29" x14ac:dyDescent="0.35">
      <c r="A986" s="35" t="s">
        <v>1330</v>
      </c>
      <c r="B986" s="35" t="s">
        <v>1331</v>
      </c>
      <c r="C986">
        <f>D986+E986+F986+G986+H986+I986</f>
        <v>5</v>
      </c>
      <c r="D986" s="5">
        <v>0</v>
      </c>
      <c r="E986" s="5">
        <v>0</v>
      </c>
      <c r="F986" s="5">
        <v>0</v>
      </c>
      <c r="G986" s="5">
        <v>5</v>
      </c>
      <c r="H986" s="5">
        <v>0</v>
      </c>
      <c r="I986" s="5">
        <v>0</v>
      </c>
      <c r="J986" s="5">
        <v>0</v>
      </c>
      <c r="K986">
        <f>J986+L986</f>
        <v>2</v>
      </c>
      <c r="L986" s="5">
        <v>2</v>
      </c>
      <c r="M986" s="5">
        <v>3</v>
      </c>
      <c r="N986" s="5">
        <v>4</v>
      </c>
      <c r="O986" s="3" t="e">
        <f>N986/J986</f>
        <v>#DIV/0!</v>
      </c>
      <c r="P986" s="5">
        <v>0</v>
      </c>
      <c r="Q986" s="5">
        <v>0</v>
      </c>
      <c r="R986" s="35" t="s">
        <v>1269</v>
      </c>
      <c r="S986">
        <v>17</v>
      </c>
      <c r="T986">
        <v>0</v>
      </c>
      <c r="U986">
        <v>0</v>
      </c>
      <c r="V986">
        <v>111</v>
      </c>
      <c r="W986" s="3">
        <f>V986/S986</f>
        <v>6.5294117647058822</v>
      </c>
      <c r="X986" s="3" t="e">
        <f>V986/U986</f>
        <v>#DIV/0!</v>
      </c>
      <c r="Y986" s="3" t="e">
        <f>S986*6/U986</f>
        <v>#DIV/0!</v>
      </c>
      <c r="Z986" t="s">
        <v>1218</v>
      </c>
      <c r="AA986" s="5">
        <v>0</v>
      </c>
      <c r="AB986" s="5">
        <v>0</v>
      </c>
      <c r="AC986" s="5">
        <v>1</v>
      </c>
    </row>
    <row r="987" spans="1:29" x14ac:dyDescent="0.35">
      <c r="A987" s="1" t="s">
        <v>1201</v>
      </c>
      <c r="B987" s="1" t="s">
        <v>210</v>
      </c>
      <c r="C987">
        <f>D987+E987+F987+G987+H987+I987</f>
        <v>5</v>
      </c>
      <c r="D987" s="2">
        <v>0</v>
      </c>
      <c r="E987" s="2">
        <v>4</v>
      </c>
      <c r="F987" s="2">
        <v>1</v>
      </c>
      <c r="G987" s="2">
        <v>0</v>
      </c>
      <c r="H987" s="2">
        <v>0</v>
      </c>
      <c r="I987" s="2">
        <v>0</v>
      </c>
      <c r="J987" s="2">
        <v>2</v>
      </c>
      <c r="K987">
        <f>J987+L987</f>
        <v>4</v>
      </c>
      <c r="L987" s="2">
        <v>2</v>
      </c>
      <c r="M987" s="2">
        <v>1</v>
      </c>
      <c r="N987" s="2">
        <v>25</v>
      </c>
      <c r="O987" s="3">
        <f>N987/J987</f>
        <v>12.5</v>
      </c>
      <c r="P987" s="2">
        <v>0</v>
      </c>
      <c r="Q987" s="2">
        <v>0</v>
      </c>
      <c r="R987" s="2">
        <v>11</v>
      </c>
      <c r="S987" s="11">
        <v>11</v>
      </c>
      <c r="T987" s="11">
        <v>0</v>
      </c>
      <c r="U987" s="11">
        <v>0</v>
      </c>
      <c r="V987" s="11">
        <v>56</v>
      </c>
      <c r="W987" s="3">
        <f>V987/S987</f>
        <v>5.0909090909090908</v>
      </c>
      <c r="Z987" s="11" t="s">
        <v>1152</v>
      </c>
      <c r="AA987" s="11">
        <v>0</v>
      </c>
      <c r="AB987" s="2">
        <v>0</v>
      </c>
      <c r="AC987" s="2">
        <v>1</v>
      </c>
    </row>
    <row r="988" spans="1:29" x14ac:dyDescent="0.35">
      <c r="A988" s="25" t="s">
        <v>1002</v>
      </c>
      <c r="B988" s="25" t="s">
        <v>1003</v>
      </c>
      <c r="C988">
        <f>D988+E988+F988+G988+H988+I988</f>
        <v>3</v>
      </c>
      <c r="D988" s="5">
        <v>0</v>
      </c>
      <c r="E988" s="5">
        <v>0</v>
      </c>
      <c r="F988" s="5">
        <v>2</v>
      </c>
      <c r="G988" s="5">
        <v>1</v>
      </c>
      <c r="H988" s="5">
        <v>0</v>
      </c>
      <c r="I988" s="5">
        <v>0</v>
      </c>
      <c r="J988" s="5">
        <v>0</v>
      </c>
      <c r="K988">
        <f>J988+L988</f>
        <v>3</v>
      </c>
      <c r="L988" s="5">
        <v>3</v>
      </c>
      <c r="M988" s="5">
        <v>0</v>
      </c>
      <c r="N988" s="5">
        <v>8</v>
      </c>
      <c r="O988" s="3" t="e">
        <f>N988/J988</f>
        <v>#DIV/0!</v>
      </c>
      <c r="P988" s="5">
        <v>0</v>
      </c>
      <c r="Q988" s="5">
        <v>0</v>
      </c>
      <c r="R988" s="5">
        <v>6</v>
      </c>
      <c r="S988" s="6">
        <v>4</v>
      </c>
      <c r="T988" s="6">
        <v>1</v>
      </c>
      <c r="U988" s="6">
        <v>0</v>
      </c>
      <c r="V988" s="6">
        <v>8</v>
      </c>
      <c r="W988" s="3">
        <f>V988/S988</f>
        <v>2</v>
      </c>
      <c r="X988" s="3" t="e">
        <f>V988/U988</f>
        <v>#DIV/0!</v>
      </c>
      <c r="Y988" s="4" t="e">
        <f>S988*6/U988</f>
        <v>#DIV/0!</v>
      </c>
      <c r="Z988" s="6">
        <v>0</v>
      </c>
      <c r="AA988" s="5">
        <v>0</v>
      </c>
      <c r="AB988" s="6">
        <v>0</v>
      </c>
      <c r="AC988" s="6">
        <v>2</v>
      </c>
    </row>
    <row r="989" spans="1:29" x14ac:dyDescent="0.35">
      <c r="A989" s="10" t="s">
        <v>1297</v>
      </c>
      <c r="B989" s="10" t="s">
        <v>1298</v>
      </c>
      <c r="C989">
        <f>D989+E989+F989+G989+H989+I989</f>
        <v>6</v>
      </c>
      <c r="D989" s="5">
        <v>6</v>
      </c>
      <c r="E989" s="5">
        <v>0</v>
      </c>
      <c r="F989" s="5">
        <v>0</v>
      </c>
      <c r="G989" s="5">
        <v>0</v>
      </c>
      <c r="H989" s="5">
        <v>0</v>
      </c>
      <c r="I989" s="5">
        <v>0</v>
      </c>
      <c r="J989" s="5">
        <v>4</v>
      </c>
      <c r="K989">
        <f>J989+L989</f>
        <v>5</v>
      </c>
      <c r="L989" s="5">
        <v>1</v>
      </c>
      <c r="M989" s="5">
        <v>1</v>
      </c>
      <c r="N989" s="5">
        <v>201</v>
      </c>
      <c r="O989" s="3">
        <f>N989/J989</f>
        <v>50.25</v>
      </c>
      <c r="P989" s="5">
        <v>1</v>
      </c>
      <c r="Q989" s="5">
        <v>0</v>
      </c>
      <c r="R989" s="5">
        <v>76</v>
      </c>
      <c r="S989" s="35">
        <v>26</v>
      </c>
      <c r="T989" s="35">
        <v>0</v>
      </c>
      <c r="U989" s="35">
        <v>4</v>
      </c>
      <c r="V989" s="35">
        <v>148</v>
      </c>
      <c r="W989" s="3">
        <f>V989/S989</f>
        <v>5.6923076923076925</v>
      </c>
      <c r="X989" s="3">
        <f>V989/U989</f>
        <v>37</v>
      </c>
      <c r="Y989" s="3">
        <f>156/4</f>
        <v>39</v>
      </c>
      <c r="Z989" s="35" t="s">
        <v>1299</v>
      </c>
      <c r="AA989" s="40">
        <v>0</v>
      </c>
      <c r="AB989" s="10">
        <v>0</v>
      </c>
      <c r="AC989" s="10">
        <v>1</v>
      </c>
    </row>
    <row r="990" spans="1:29" x14ac:dyDescent="0.35">
      <c r="A990" s="1" t="s">
        <v>829</v>
      </c>
      <c r="B990" s="1" t="s">
        <v>1004</v>
      </c>
      <c r="C990">
        <f>D990+E990+F990+G990+H990+I990</f>
        <v>11</v>
      </c>
      <c r="D990" s="2">
        <v>0</v>
      </c>
      <c r="E990" s="2">
        <v>1</v>
      </c>
      <c r="F990" s="2">
        <v>2</v>
      </c>
      <c r="G990" s="2">
        <v>8</v>
      </c>
      <c r="H990" s="2">
        <v>0</v>
      </c>
      <c r="I990" s="2">
        <v>0</v>
      </c>
      <c r="J990" s="2">
        <v>7</v>
      </c>
      <c r="K990">
        <f>J990+L990</f>
        <v>9</v>
      </c>
      <c r="L990" s="2">
        <v>2</v>
      </c>
      <c r="M990" s="2">
        <v>2</v>
      </c>
      <c r="N990" s="2">
        <v>157</v>
      </c>
      <c r="O990" s="3">
        <f>N990/J990</f>
        <v>22.428571428571427</v>
      </c>
      <c r="P990" s="2">
        <v>1</v>
      </c>
      <c r="Q990" s="2">
        <v>0</v>
      </c>
      <c r="R990" s="2">
        <v>86</v>
      </c>
      <c r="S990" s="2">
        <v>60</v>
      </c>
      <c r="T990" s="2">
        <v>18</v>
      </c>
      <c r="U990" s="2">
        <v>14</v>
      </c>
      <c r="V990" s="2">
        <v>143</v>
      </c>
      <c r="W990" s="3">
        <f>V990/S990</f>
        <v>2.3833333333333333</v>
      </c>
      <c r="X990" s="3">
        <f>V990/U990</f>
        <v>10.214285714285714</v>
      </c>
      <c r="Y990" s="4">
        <f>S990*6/U990</f>
        <v>25.714285714285715</v>
      </c>
      <c r="Z990" s="2">
        <v>5</v>
      </c>
      <c r="AA990" s="2">
        <v>1</v>
      </c>
      <c r="AB990" s="2">
        <v>0</v>
      </c>
      <c r="AC990" s="2">
        <v>5</v>
      </c>
    </row>
    <row r="991" spans="1:29" x14ac:dyDescent="0.35">
      <c r="A991" s="1" t="s">
        <v>829</v>
      </c>
      <c r="B991" s="1" t="s">
        <v>77</v>
      </c>
      <c r="C991">
        <f>D991+E991+F991+G991+H991+I991</f>
        <v>5</v>
      </c>
      <c r="D991" s="2">
        <v>0</v>
      </c>
      <c r="E991" s="2">
        <v>1</v>
      </c>
      <c r="F991" s="2">
        <v>1</v>
      </c>
      <c r="G991" s="2">
        <v>3</v>
      </c>
      <c r="H991" s="2">
        <v>0</v>
      </c>
      <c r="I991" s="2">
        <v>0</v>
      </c>
      <c r="J991" s="2">
        <v>3</v>
      </c>
      <c r="K991">
        <f>J991+L991</f>
        <v>5</v>
      </c>
      <c r="L991" s="2">
        <v>2</v>
      </c>
      <c r="M991" s="2">
        <v>0</v>
      </c>
      <c r="N991" s="2">
        <v>48</v>
      </c>
      <c r="O991" s="3">
        <f>N991/J991</f>
        <v>16</v>
      </c>
      <c r="P991" s="2">
        <v>0</v>
      </c>
      <c r="Q991" s="2">
        <v>0</v>
      </c>
      <c r="R991" s="2">
        <v>20</v>
      </c>
      <c r="S991" s="2">
        <v>0</v>
      </c>
      <c r="T991" s="2">
        <v>0</v>
      </c>
      <c r="U991" s="2">
        <v>0</v>
      </c>
      <c r="V991" s="2">
        <v>0</v>
      </c>
      <c r="W991" s="3" t="e">
        <f>V991/S991</f>
        <v>#DIV/0!</v>
      </c>
      <c r="X991" s="3" t="e">
        <f>V991/U991</f>
        <v>#DIV/0!</v>
      </c>
      <c r="Y991" s="4" t="e">
        <f>S991*6/U991</f>
        <v>#DIV/0!</v>
      </c>
      <c r="Z991" s="2">
        <v>0</v>
      </c>
      <c r="AA991" s="2">
        <v>0</v>
      </c>
      <c r="AB991" s="2">
        <v>0</v>
      </c>
      <c r="AC991" s="2">
        <v>2</v>
      </c>
    </row>
    <row r="992" spans="1:29" x14ac:dyDescent="0.35">
      <c r="A992" s="1" t="s">
        <v>829</v>
      </c>
      <c r="B992" s="1" t="s">
        <v>330</v>
      </c>
      <c r="C992">
        <f>D992+E992+F992+G992+H992+I992</f>
        <v>3</v>
      </c>
      <c r="D992" s="2">
        <v>0</v>
      </c>
      <c r="E992" s="2">
        <v>3</v>
      </c>
      <c r="F992" s="2">
        <v>0</v>
      </c>
      <c r="G992" s="2">
        <v>0</v>
      </c>
      <c r="H992" s="2">
        <v>0</v>
      </c>
      <c r="I992" s="2">
        <v>0</v>
      </c>
      <c r="J992" s="2">
        <v>1</v>
      </c>
      <c r="K992">
        <f>J992+L992</f>
        <v>3</v>
      </c>
      <c r="L992" s="2">
        <v>2</v>
      </c>
      <c r="M992" s="2">
        <v>0</v>
      </c>
      <c r="N992" s="2">
        <v>11</v>
      </c>
      <c r="O992" s="3">
        <f>N992/J992</f>
        <v>11</v>
      </c>
      <c r="P992" s="2">
        <v>0</v>
      </c>
      <c r="Q992" s="2">
        <v>0</v>
      </c>
      <c r="R992" s="2">
        <v>9</v>
      </c>
      <c r="S992" s="2">
        <v>0</v>
      </c>
      <c r="T992" s="2">
        <v>0</v>
      </c>
      <c r="U992" s="2">
        <v>0</v>
      </c>
      <c r="V992" s="2">
        <v>0</v>
      </c>
      <c r="W992" s="3" t="e">
        <f>V992/S992</f>
        <v>#DIV/0!</v>
      </c>
      <c r="X992" s="3" t="e">
        <f>V992/U992</f>
        <v>#DIV/0!</v>
      </c>
      <c r="Y992" s="4" t="e">
        <f>S992*6/U992</f>
        <v>#DIV/0!</v>
      </c>
      <c r="Z992" s="2">
        <v>0</v>
      </c>
      <c r="AA992" s="2">
        <v>0</v>
      </c>
      <c r="AB992" s="2">
        <v>0</v>
      </c>
      <c r="AC992" s="2">
        <v>1</v>
      </c>
    </row>
    <row r="993" spans="1:29" x14ac:dyDescent="0.35">
      <c r="A993" s="1" t="s">
        <v>829</v>
      </c>
      <c r="B993" s="1" t="s">
        <v>71</v>
      </c>
      <c r="C993">
        <f>D993+E993+F993+G993+H993+I993</f>
        <v>9</v>
      </c>
      <c r="D993" s="2">
        <v>0</v>
      </c>
      <c r="E993" s="2">
        <v>0</v>
      </c>
      <c r="F993" s="2">
        <v>2</v>
      </c>
      <c r="G993" s="2">
        <v>5</v>
      </c>
      <c r="H993" s="2">
        <v>0</v>
      </c>
      <c r="I993" s="2">
        <v>2</v>
      </c>
      <c r="J993" s="2">
        <v>5</v>
      </c>
      <c r="K993">
        <f>J993+L993</f>
        <v>7</v>
      </c>
      <c r="L993" s="2">
        <v>2</v>
      </c>
      <c r="M993" s="2">
        <v>1</v>
      </c>
      <c r="N993" s="2">
        <v>103</v>
      </c>
      <c r="O993" s="3">
        <f>N993/J993</f>
        <v>20.6</v>
      </c>
      <c r="P993" s="2">
        <v>0</v>
      </c>
      <c r="Q993" s="2">
        <v>0</v>
      </c>
      <c r="R993" s="2">
        <v>31</v>
      </c>
      <c r="S993" s="2">
        <v>40</v>
      </c>
      <c r="T993" s="2">
        <v>5</v>
      </c>
      <c r="U993" s="2">
        <v>4</v>
      </c>
      <c r="V993" s="2">
        <v>142</v>
      </c>
      <c r="W993" s="3">
        <f>V993/S993</f>
        <v>3.55</v>
      </c>
      <c r="X993" s="3">
        <f>V993/U993</f>
        <v>35.5</v>
      </c>
      <c r="Y993" s="4">
        <f>S993*6/U993</f>
        <v>60</v>
      </c>
      <c r="Z993" s="2">
        <v>2</v>
      </c>
      <c r="AA993" s="2">
        <v>0</v>
      </c>
      <c r="AB993" s="2">
        <v>0</v>
      </c>
      <c r="AC993" s="2">
        <v>0</v>
      </c>
    </row>
    <row r="994" spans="1:29" x14ac:dyDescent="0.35">
      <c r="A994" s="1" t="s">
        <v>1005</v>
      </c>
      <c r="B994" s="1" t="s">
        <v>1006</v>
      </c>
      <c r="C994">
        <f>D994+E994+F994+G994+H994+I994</f>
        <v>27</v>
      </c>
      <c r="D994" s="2">
        <v>0</v>
      </c>
      <c r="E994" s="2">
        <v>3</v>
      </c>
      <c r="F994" s="2">
        <v>9</v>
      </c>
      <c r="G994" s="2">
        <v>12</v>
      </c>
      <c r="H994" s="2">
        <v>0</v>
      </c>
      <c r="I994" s="2">
        <v>3</v>
      </c>
      <c r="J994" s="2">
        <v>22</v>
      </c>
      <c r="K994">
        <f>J994+L994</f>
        <v>27</v>
      </c>
      <c r="L994" s="2">
        <v>5</v>
      </c>
      <c r="M994" s="2">
        <v>10</v>
      </c>
      <c r="N994" s="2">
        <v>294</v>
      </c>
      <c r="O994" s="3">
        <f>N994/J994</f>
        <v>13.363636363636363</v>
      </c>
      <c r="P994" s="2">
        <v>0</v>
      </c>
      <c r="Q994" s="2">
        <v>0</v>
      </c>
      <c r="R994" s="2">
        <v>47</v>
      </c>
      <c r="S994" s="2">
        <v>247</v>
      </c>
      <c r="T994" s="2">
        <v>46</v>
      </c>
      <c r="U994" s="2">
        <v>38</v>
      </c>
      <c r="V994" s="2">
        <v>623</v>
      </c>
      <c r="W994" s="3">
        <f>V994/S994</f>
        <v>2.5222672064777329</v>
      </c>
      <c r="X994" s="3">
        <f>V994/U994</f>
        <v>16.394736842105264</v>
      </c>
      <c r="Y994" s="4">
        <f>S994*6/U994</f>
        <v>39</v>
      </c>
      <c r="Z994" s="2">
        <v>5</v>
      </c>
      <c r="AA994" s="2">
        <v>2</v>
      </c>
      <c r="AB994" s="2">
        <v>0</v>
      </c>
      <c r="AC994" s="2">
        <v>8</v>
      </c>
    </row>
    <row r="995" spans="1:29" x14ac:dyDescent="0.35">
      <c r="A995" s="1" t="s">
        <v>1007</v>
      </c>
      <c r="B995" s="1" t="s">
        <v>146</v>
      </c>
      <c r="C995">
        <f>D995+E995+F995+G995+H995+I995</f>
        <v>4</v>
      </c>
      <c r="D995" s="2">
        <v>0</v>
      </c>
      <c r="E995" s="2">
        <v>0</v>
      </c>
      <c r="F995" s="2">
        <v>1</v>
      </c>
      <c r="G995" s="2">
        <v>1</v>
      </c>
      <c r="H995" s="2">
        <v>0</v>
      </c>
      <c r="I995" s="2">
        <v>2</v>
      </c>
      <c r="J995" s="2">
        <v>2</v>
      </c>
      <c r="K995">
        <f>J995+L995</f>
        <v>3</v>
      </c>
      <c r="L995" s="2">
        <v>1</v>
      </c>
      <c r="M995" s="2">
        <v>1</v>
      </c>
      <c r="N995" s="2">
        <v>10</v>
      </c>
      <c r="O995" s="3">
        <f>N995/J995</f>
        <v>5</v>
      </c>
      <c r="P995" s="2">
        <v>0</v>
      </c>
      <c r="Q995" s="2">
        <v>0</v>
      </c>
      <c r="R995" s="2">
        <v>10</v>
      </c>
      <c r="S995" s="2">
        <v>8</v>
      </c>
      <c r="T995" s="2">
        <v>0</v>
      </c>
      <c r="U995" s="2">
        <v>0</v>
      </c>
      <c r="V995" s="2">
        <v>39</v>
      </c>
      <c r="W995" s="3">
        <f>V995/S995</f>
        <v>4.875</v>
      </c>
      <c r="X995" s="3" t="e">
        <f>V995/U995</f>
        <v>#DIV/0!</v>
      </c>
      <c r="Y995" s="4" t="e">
        <f>S995*6/U995</f>
        <v>#DIV/0!</v>
      </c>
      <c r="Z995" s="2">
        <v>0</v>
      </c>
      <c r="AA995" s="2">
        <v>0</v>
      </c>
      <c r="AB995" s="2">
        <v>0</v>
      </c>
      <c r="AC995" s="2">
        <v>0</v>
      </c>
    </row>
    <row r="996" spans="1:29" x14ac:dyDescent="0.35">
      <c r="A996" s="1" t="s">
        <v>1008</v>
      </c>
      <c r="B996" s="1" t="s">
        <v>325</v>
      </c>
      <c r="C996">
        <f>D996+E996+F996+G996+H996+I996</f>
        <v>30</v>
      </c>
      <c r="D996" s="2">
        <v>0</v>
      </c>
      <c r="E996" s="2">
        <v>14</v>
      </c>
      <c r="F996" s="2">
        <v>6</v>
      </c>
      <c r="G996" s="2">
        <v>8</v>
      </c>
      <c r="H996" s="2">
        <v>2</v>
      </c>
      <c r="I996" s="2">
        <v>0</v>
      </c>
      <c r="J996" s="2">
        <v>23</v>
      </c>
      <c r="K996">
        <f>J996+L996</f>
        <v>32</v>
      </c>
      <c r="L996" s="2">
        <v>9</v>
      </c>
      <c r="M996" s="2">
        <v>3</v>
      </c>
      <c r="N996" s="2">
        <v>546</v>
      </c>
      <c r="O996" s="3">
        <f>N996/J996</f>
        <v>23.739130434782609</v>
      </c>
      <c r="P996" s="2">
        <v>3</v>
      </c>
      <c r="Q996" s="2">
        <v>0</v>
      </c>
      <c r="R996" s="2">
        <v>72</v>
      </c>
      <c r="S996" s="2">
        <v>69</v>
      </c>
      <c r="T996" s="2">
        <v>14</v>
      </c>
      <c r="U996" s="2">
        <v>8</v>
      </c>
      <c r="V996" s="2">
        <v>231</v>
      </c>
      <c r="W996" s="3">
        <f>V996/S996</f>
        <v>3.347826086956522</v>
      </c>
      <c r="X996" s="3">
        <f>V996/U996</f>
        <v>28.875</v>
      </c>
      <c r="Y996" s="4">
        <f>S996*6/U996</f>
        <v>51.75</v>
      </c>
      <c r="Z996" s="2">
        <v>3</v>
      </c>
      <c r="AA996" s="2">
        <v>0</v>
      </c>
      <c r="AB996" s="2">
        <v>0</v>
      </c>
      <c r="AC996" s="2">
        <v>9</v>
      </c>
    </row>
    <row r="997" spans="1:29" x14ac:dyDescent="0.35">
      <c r="A997" s="1" t="s">
        <v>1009</v>
      </c>
      <c r="B997" s="1" t="s">
        <v>434</v>
      </c>
      <c r="C997">
        <f>D997+E997+F997+G997+H997+I997</f>
        <v>28</v>
      </c>
      <c r="D997" s="2">
        <v>0</v>
      </c>
      <c r="E997" s="2">
        <v>6</v>
      </c>
      <c r="F997" s="2">
        <v>3</v>
      </c>
      <c r="G997" s="2">
        <v>1</v>
      </c>
      <c r="H997" s="2">
        <v>17</v>
      </c>
      <c r="I997" s="2">
        <v>1</v>
      </c>
      <c r="J997" s="2">
        <v>23</v>
      </c>
      <c r="K997">
        <f>J997+L997</f>
        <v>28</v>
      </c>
      <c r="L997" s="2">
        <v>5</v>
      </c>
      <c r="M997" s="2">
        <v>5</v>
      </c>
      <c r="N997" s="2">
        <v>436</v>
      </c>
      <c r="O997" s="3">
        <f>N997/J997</f>
        <v>18.956521739130434</v>
      </c>
      <c r="P997" s="2">
        <v>1</v>
      </c>
      <c r="Q997" s="2">
        <v>0</v>
      </c>
      <c r="R997" s="2">
        <v>52</v>
      </c>
      <c r="S997" s="2">
        <v>36</v>
      </c>
      <c r="T997" s="2">
        <v>2</v>
      </c>
      <c r="U997" s="2">
        <v>12</v>
      </c>
      <c r="V997" s="2">
        <v>152</v>
      </c>
      <c r="W997" s="3">
        <f>V997/S997</f>
        <v>4.2222222222222223</v>
      </c>
      <c r="X997" s="3">
        <f>V997/U997</f>
        <v>12.666666666666666</v>
      </c>
      <c r="Y997" s="4">
        <f>S997*6/U997</f>
        <v>18</v>
      </c>
      <c r="Z997" s="2">
        <v>2</v>
      </c>
      <c r="AA997" s="2">
        <v>0</v>
      </c>
      <c r="AB997" s="2">
        <v>0</v>
      </c>
      <c r="AC997" s="2">
        <v>9</v>
      </c>
    </row>
    <row r="998" spans="1:29" x14ac:dyDescent="0.35">
      <c r="A998" s="22" t="s">
        <v>1301</v>
      </c>
      <c r="B998" s="22" t="s">
        <v>1290</v>
      </c>
      <c r="C998" s="18">
        <f>D998+E998+F998+G998+H998+I998</f>
        <v>35</v>
      </c>
      <c r="D998" s="16">
        <v>3</v>
      </c>
      <c r="E998" s="16">
        <v>30</v>
      </c>
      <c r="F998" s="16">
        <v>1</v>
      </c>
      <c r="G998" s="16">
        <v>0</v>
      </c>
      <c r="H998" s="16">
        <v>1</v>
      </c>
      <c r="I998" s="16">
        <v>0</v>
      </c>
      <c r="J998" s="16">
        <v>28</v>
      </c>
      <c r="K998" s="18">
        <f>J998+L998</f>
        <v>31</v>
      </c>
      <c r="L998" s="16">
        <v>3</v>
      </c>
      <c r="M998" s="16">
        <v>4</v>
      </c>
      <c r="N998" s="16">
        <f>174+263</f>
        <v>437</v>
      </c>
      <c r="O998" s="19">
        <f>N998/J998</f>
        <v>15.607142857142858</v>
      </c>
      <c r="P998" s="16">
        <v>1</v>
      </c>
      <c r="Q998" s="16">
        <v>0</v>
      </c>
      <c r="R998" s="16" t="s">
        <v>1300</v>
      </c>
      <c r="S998" s="22">
        <v>108.1</v>
      </c>
      <c r="T998" s="22">
        <v>13</v>
      </c>
      <c r="U998" s="22">
        <v>23</v>
      </c>
      <c r="V998" s="22">
        <f>417+94</f>
        <v>511</v>
      </c>
      <c r="W998" s="19">
        <f>V998/S998</f>
        <v>4.727104532839963</v>
      </c>
      <c r="X998" s="19">
        <f>V998/U998</f>
        <v>22.217391304347824</v>
      </c>
      <c r="Y998" s="19">
        <f>S998*6/U998</f>
        <v>28.199999999999996</v>
      </c>
      <c r="Z998" s="22" t="s">
        <v>1310</v>
      </c>
      <c r="AA998" s="16">
        <v>1</v>
      </c>
      <c r="AB998" s="22">
        <v>0</v>
      </c>
      <c r="AC998" s="22">
        <v>14</v>
      </c>
    </row>
    <row r="999" spans="1:29" x14ac:dyDescent="0.35">
      <c r="A999" s="25" t="s">
        <v>1010</v>
      </c>
      <c r="B999" s="25" t="s">
        <v>20</v>
      </c>
      <c r="C999">
        <f>D999+E999+F999+G999+H999+I999</f>
        <v>3</v>
      </c>
      <c r="D999" s="5">
        <v>0</v>
      </c>
      <c r="E999" s="5">
        <v>3</v>
      </c>
      <c r="F999" s="5">
        <v>0</v>
      </c>
      <c r="G999" s="5">
        <v>0</v>
      </c>
      <c r="H999" s="5">
        <v>0</v>
      </c>
      <c r="I999" s="5">
        <v>0</v>
      </c>
      <c r="J999" s="5">
        <v>1</v>
      </c>
      <c r="K999">
        <f>J999+L999</f>
        <v>2</v>
      </c>
      <c r="L999" s="5">
        <v>1</v>
      </c>
      <c r="M999" s="5">
        <v>2</v>
      </c>
      <c r="N999" s="5">
        <v>25</v>
      </c>
      <c r="O999" s="3">
        <f>N999/J999</f>
        <v>25</v>
      </c>
      <c r="P999" s="5">
        <v>0</v>
      </c>
      <c r="Q999" s="5">
        <v>0</v>
      </c>
      <c r="R999" s="5">
        <v>16</v>
      </c>
      <c r="S999" s="6">
        <v>33</v>
      </c>
      <c r="T999" s="6">
        <v>3</v>
      </c>
      <c r="U999" s="6">
        <v>5</v>
      </c>
      <c r="V999" s="6">
        <v>87</v>
      </c>
      <c r="W999" s="3">
        <f>V999/S999</f>
        <v>2.6363636363636362</v>
      </c>
      <c r="X999" s="3">
        <f>V999/U999</f>
        <v>17.399999999999999</v>
      </c>
      <c r="Y999" s="4">
        <f>S999*6/U999</f>
        <v>39.6</v>
      </c>
      <c r="Z999" s="6">
        <v>3</v>
      </c>
      <c r="AA999" s="5">
        <v>0</v>
      </c>
      <c r="AB999" s="6">
        <v>0</v>
      </c>
      <c r="AC999" s="6">
        <v>0</v>
      </c>
    </row>
    <row r="1000" spans="1:29" x14ac:dyDescent="0.35">
      <c r="A1000" s="1" t="s">
        <v>1011</v>
      </c>
      <c r="B1000" s="1" t="s">
        <v>64</v>
      </c>
      <c r="C1000">
        <f>D1000+E1000+F1000+G1000+H1000+I1000</f>
        <v>35</v>
      </c>
      <c r="D1000" s="2">
        <v>0</v>
      </c>
      <c r="E1000" s="2">
        <v>20</v>
      </c>
      <c r="F1000" s="2">
        <v>8</v>
      </c>
      <c r="G1000" s="2">
        <v>3</v>
      </c>
      <c r="H1000" s="2">
        <v>4</v>
      </c>
      <c r="I1000" s="2">
        <v>0</v>
      </c>
      <c r="J1000" s="2">
        <v>37</v>
      </c>
      <c r="K1000">
        <f>J1000+L1000</f>
        <v>42</v>
      </c>
      <c r="L1000" s="2">
        <v>5</v>
      </c>
      <c r="M1000" s="2">
        <v>0</v>
      </c>
      <c r="N1000" s="2">
        <v>679</v>
      </c>
      <c r="O1000" s="3">
        <f>N1000/J1000</f>
        <v>18.351351351351351</v>
      </c>
      <c r="P1000" s="2">
        <v>5</v>
      </c>
      <c r="Q1000" s="2">
        <v>0</v>
      </c>
      <c r="R1000" s="2">
        <v>71</v>
      </c>
      <c r="S1000" s="2">
        <v>4</v>
      </c>
      <c r="T1000" s="2">
        <v>0</v>
      </c>
      <c r="U1000" s="2">
        <v>0</v>
      </c>
      <c r="V1000" s="2">
        <v>25</v>
      </c>
      <c r="W1000" s="3">
        <f>V1000/S1000</f>
        <v>6.25</v>
      </c>
      <c r="X1000" s="3" t="e">
        <f>V1000/U1000</f>
        <v>#DIV/0!</v>
      </c>
      <c r="Y1000" s="4" t="e">
        <f>S1000*6/U1000</f>
        <v>#DIV/0!</v>
      </c>
      <c r="Z1000" s="2">
        <v>0</v>
      </c>
      <c r="AA1000" s="2">
        <v>0</v>
      </c>
      <c r="AB1000" s="2">
        <v>0</v>
      </c>
      <c r="AC1000" s="2">
        <v>9</v>
      </c>
    </row>
    <row r="1001" spans="1:29" x14ac:dyDescent="0.35">
      <c r="A1001" s="15" t="s">
        <v>1011</v>
      </c>
      <c r="B1001" s="15" t="s">
        <v>726</v>
      </c>
      <c r="C1001" s="18">
        <f>D1001+E1001+F1001+G1001+H1001+I1001</f>
        <v>51</v>
      </c>
      <c r="D1001" s="16">
        <v>29</v>
      </c>
      <c r="E1001" s="16">
        <v>13</v>
      </c>
      <c r="F1001" s="16">
        <v>7</v>
      </c>
      <c r="G1001" s="16">
        <v>1</v>
      </c>
      <c r="H1001" s="16">
        <v>1</v>
      </c>
      <c r="I1001" s="16">
        <v>0</v>
      </c>
      <c r="J1001" s="16">
        <v>49</v>
      </c>
      <c r="K1001" s="18">
        <f>J1001+L1001</f>
        <v>59</v>
      </c>
      <c r="L1001" s="16">
        <v>10</v>
      </c>
      <c r="M1001" s="16">
        <v>4</v>
      </c>
      <c r="N1001" s="16">
        <f>1110+61</f>
        <v>1171</v>
      </c>
      <c r="O1001" s="19">
        <f>N1001/J1001</f>
        <v>23.897959183673468</v>
      </c>
      <c r="P1001" s="16">
        <v>2</v>
      </c>
      <c r="Q1001" s="16">
        <v>2</v>
      </c>
      <c r="R1001" s="16" t="s">
        <v>1117</v>
      </c>
      <c r="S1001" s="16">
        <v>188</v>
      </c>
      <c r="T1001" s="16">
        <v>25</v>
      </c>
      <c r="U1001" s="16">
        <v>25</v>
      </c>
      <c r="V1001" s="16">
        <v>719</v>
      </c>
      <c r="W1001" s="19">
        <f>V1001/S1001</f>
        <v>3.8244680851063828</v>
      </c>
      <c r="X1001" s="19">
        <f>V1001/U1001</f>
        <v>28.76</v>
      </c>
      <c r="Y1001" s="20">
        <f>S1001*6/U1001</f>
        <v>45.12</v>
      </c>
      <c r="Z1001" s="16">
        <v>6</v>
      </c>
      <c r="AA1001" s="16">
        <v>1</v>
      </c>
      <c r="AB1001" s="16">
        <v>0</v>
      </c>
      <c r="AC1001" s="16">
        <v>7</v>
      </c>
    </row>
    <row r="1002" spans="1:29" x14ac:dyDescent="0.35">
      <c r="A1002" s="1" t="s">
        <v>1011</v>
      </c>
      <c r="B1002" s="1" t="s">
        <v>561</v>
      </c>
      <c r="C1002">
        <f>D1002+E1002+F1002+G1002+H1002+I1002</f>
        <v>8</v>
      </c>
      <c r="D1002" s="2">
        <v>0</v>
      </c>
      <c r="E1002" s="2">
        <v>7</v>
      </c>
      <c r="F1002" s="2">
        <v>0</v>
      </c>
      <c r="G1002" s="2">
        <v>0</v>
      </c>
      <c r="H1002" s="2">
        <v>1</v>
      </c>
      <c r="I1002" s="2">
        <v>0</v>
      </c>
      <c r="J1002" s="2">
        <v>6</v>
      </c>
      <c r="K1002">
        <f>J1002+L1002</f>
        <v>7</v>
      </c>
      <c r="L1002" s="2">
        <v>1</v>
      </c>
      <c r="M1002" s="2">
        <v>1</v>
      </c>
      <c r="N1002" s="2">
        <f>25+40</f>
        <v>65</v>
      </c>
      <c r="O1002" s="3">
        <f>N1002/J1002</f>
        <v>10.833333333333334</v>
      </c>
      <c r="P1002" s="2">
        <v>0</v>
      </c>
      <c r="Q1002" s="2">
        <v>0</v>
      </c>
      <c r="R1002" s="2">
        <v>40</v>
      </c>
      <c r="S1002" s="2">
        <v>35</v>
      </c>
      <c r="T1002" s="2">
        <v>1</v>
      </c>
      <c r="U1002" s="2">
        <v>10</v>
      </c>
      <c r="V1002" s="2">
        <f>153+35</f>
        <v>188</v>
      </c>
      <c r="W1002" s="3">
        <f>V1002/S1002</f>
        <v>5.371428571428571</v>
      </c>
      <c r="X1002" s="3">
        <f>V1002/U1002</f>
        <v>18.8</v>
      </c>
      <c r="Y1002" s="4">
        <f>S1002*6/U1002</f>
        <v>21</v>
      </c>
      <c r="Z1002" s="2">
        <v>5</v>
      </c>
      <c r="AA1002" s="2">
        <v>1</v>
      </c>
      <c r="AB1002" s="2">
        <v>0</v>
      </c>
      <c r="AC1002" s="2">
        <v>3</v>
      </c>
    </row>
    <row r="1003" spans="1:29" x14ac:dyDescent="0.35">
      <c r="A1003" s="34" t="s">
        <v>1011</v>
      </c>
      <c r="B1003" s="34" t="s">
        <v>398</v>
      </c>
      <c r="C1003">
        <f>D1003+E1003+F1003+G1003+H1003+I1003</f>
        <v>1</v>
      </c>
      <c r="D1003" s="5">
        <v>0</v>
      </c>
      <c r="E1003" s="5">
        <v>0</v>
      </c>
      <c r="F1003" s="5">
        <v>0</v>
      </c>
      <c r="G1003" s="5">
        <v>0</v>
      </c>
      <c r="H1003" s="5">
        <v>1</v>
      </c>
      <c r="I1003" s="5">
        <v>0</v>
      </c>
      <c r="J1003" s="5">
        <v>1</v>
      </c>
      <c r="K1003">
        <f>J1003+L1003</f>
        <v>1</v>
      </c>
      <c r="L1003" s="5">
        <v>0</v>
      </c>
      <c r="M1003" s="5">
        <v>0</v>
      </c>
      <c r="N1003" s="5">
        <v>11</v>
      </c>
      <c r="O1003" s="3">
        <f>N1003/J1003</f>
        <v>11</v>
      </c>
      <c r="P1003" s="5">
        <v>0</v>
      </c>
      <c r="Q1003" s="5">
        <v>0</v>
      </c>
      <c r="R1003" s="5">
        <v>11</v>
      </c>
      <c r="S1003" s="35">
        <v>8</v>
      </c>
      <c r="T1003" s="35">
        <v>1</v>
      </c>
      <c r="U1003" s="35">
        <v>1</v>
      </c>
      <c r="V1003" s="35">
        <v>39</v>
      </c>
      <c r="W1003">
        <v>4.88</v>
      </c>
      <c r="X1003" s="3">
        <v>39</v>
      </c>
      <c r="Y1003" s="4">
        <v>48</v>
      </c>
      <c r="Z1003" s="35" t="s">
        <v>1448</v>
      </c>
      <c r="AA1003" s="35">
        <v>0</v>
      </c>
      <c r="AB1003" s="35">
        <v>0</v>
      </c>
      <c r="AC1003" s="40">
        <v>0</v>
      </c>
    </row>
    <row r="1004" spans="1:29" x14ac:dyDescent="0.35">
      <c r="A1004" s="1" t="s">
        <v>1012</v>
      </c>
      <c r="B1004" s="1" t="s">
        <v>165</v>
      </c>
      <c r="C1004">
        <f>D1004+E1004+F1004+G1004+H1004+I1004</f>
        <v>8</v>
      </c>
      <c r="D1004" s="2">
        <v>8</v>
      </c>
      <c r="E1004" s="2">
        <v>0</v>
      </c>
      <c r="F1004" s="2">
        <v>0</v>
      </c>
      <c r="G1004" s="2">
        <v>0</v>
      </c>
      <c r="H1004" s="2">
        <v>0</v>
      </c>
      <c r="I1004" s="2">
        <v>0</v>
      </c>
      <c r="J1004" s="2">
        <v>5</v>
      </c>
      <c r="K1004">
        <f>J1004+L1004</f>
        <v>7</v>
      </c>
      <c r="L1004" s="2">
        <v>2</v>
      </c>
      <c r="M1004" s="2">
        <v>0</v>
      </c>
      <c r="N1004" s="2">
        <v>285</v>
      </c>
      <c r="O1004" s="3">
        <f>N1004/J1004</f>
        <v>57</v>
      </c>
      <c r="P1004" s="2">
        <v>2</v>
      </c>
      <c r="Q1004" s="2">
        <v>0</v>
      </c>
      <c r="R1004" s="2">
        <v>87</v>
      </c>
      <c r="S1004" s="2">
        <v>55</v>
      </c>
      <c r="T1004" s="2">
        <v>12</v>
      </c>
      <c r="U1004" s="2">
        <v>5</v>
      </c>
      <c r="V1004" s="2">
        <v>135</v>
      </c>
      <c r="W1004" s="3">
        <f>V1004/S1004</f>
        <v>2.4545454545454546</v>
      </c>
      <c r="X1004" s="3">
        <f>V1004/U1004</f>
        <v>27</v>
      </c>
      <c r="Y1004" s="4">
        <f>S1004*6/U1004</f>
        <v>66</v>
      </c>
      <c r="Z1004" s="2">
        <v>2</v>
      </c>
      <c r="AA1004" s="2">
        <v>0</v>
      </c>
      <c r="AB1004" s="2">
        <v>0</v>
      </c>
      <c r="AC1004" s="2">
        <v>6</v>
      </c>
    </row>
    <row r="1005" spans="1:29" x14ac:dyDescent="0.35">
      <c r="A1005" s="1" t="s">
        <v>1013</v>
      </c>
      <c r="B1005" s="1" t="s">
        <v>124</v>
      </c>
      <c r="C1005">
        <f>D1005+E1005+F1005+G1005+H1005+I1005</f>
        <v>100</v>
      </c>
      <c r="D1005" s="2">
        <v>0</v>
      </c>
      <c r="E1005" s="2">
        <v>7</v>
      </c>
      <c r="F1005" s="2">
        <v>9</v>
      </c>
      <c r="G1005" s="2">
        <v>36</v>
      </c>
      <c r="H1005" s="2">
        <v>48</v>
      </c>
      <c r="I1005" s="2">
        <v>0</v>
      </c>
      <c r="J1005" s="2">
        <v>93</v>
      </c>
      <c r="K1005">
        <f>J1005+L1005</f>
        <v>108</v>
      </c>
      <c r="L1005" s="2">
        <v>15</v>
      </c>
      <c r="M1005" s="2">
        <v>7</v>
      </c>
      <c r="N1005" s="2">
        <v>2897</v>
      </c>
      <c r="O1005" s="3">
        <f>N1005/J1005</f>
        <v>31.150537634408604</v>
      </c>
      <c r="P1005" s="2">
        <v>16</v>
      </c>
      <c r="Q1005" s="2">
        <v>4</v>
      </c>
      <c r="R1005" s="2">
        <v>152</v>
      </c>
      <c r="S1005" s="2">
        <v>65</v>
      </c>
      <c r="T1005" s="2">
        <v>6</v>
      </c>
      <c r="U1005" s="2">
        <v>9</v>
      </c>
      <c r="V1005" s="2">
        <v>280</v>
      </c>
      <c r="W1005" s="3">
        <f>V1005/S1005</f>
        <v>4.3076923076923075</v>
      </c>
      <c r="X1005" s="3">
        <f>V1005/U1005</f>
        <v>31.111111111111111</v>
      </c>
      <c r="Y1005" s="4">
        <f>S1005*6/U1005</f>
        <v>43.333333333333336</v>
      </c>
      <c r="Z1005" s="2">
        <v>3</v>
      </c>
      <c r="AA1005" s="2">
        <v>0</v>
      </c>
      <c r="AB1005" s="2">
        <v>0</v>
      </c>
      <c r="AC1005" s="2">
        <v>52</v>
      </c>
    </row>
    <row r="1006" spans="1:29" x14ac:dyDescent="0.35">
      <c r="A1006" s="1" t="s">
        <v>873</v>
      </c>
      <c r="B1006" s="1" t="s">
        <v>803</v>
      </c>
      <c r="C1006">
        <f>D1006+E1006+F1006+G1006+H1006+I1006</f>
        <v>1</v>
      </c>
      <c r="D1006" s="2">
        <v>0</v>
      </c>
      <c r="E1006" s="2">
        <v>0</v>
      </c>
      <c r="F1006" s="2">
        <v>0</v>
      </c>
      <c r="G1006" s="2">
        <v>0</v>
      </c>
      <c r="H1006" s="2">
        <v>0</v>
      </c>
      <c r="I1006" s="2">
        <v>1</v>
      </c>
      <c r="J1006" s="2">
        <v>1</v>
      </c>
      <c r="K1006">
        <f>J1006+L1006</f>
        <v>1</v>
      </c>
      <c r="L1006" s="2">
        <v>0</v>
      </c>
      <c r="M1006" s="2">
        <v>0</v>
      </c>
      <c r="N1006" s="2">
        <v>28</v>
      </c>
      <c r="O1006" s="3">
        <f>N1006/J1006</f>
        <v>28</v>
      </c>
      <c r="P1006" s="2">
        <v>0</v>
      </c>
      <c r="Q1006" s="2">
        <v>0</v>
      </c>
      <c r="R1006" s="2">
        <v>28</v>
      </c>
      <c r="S1006" s="2">
        <v>8</v>
      </c>
      <c r="T1006" s="2">
        <v>0</v>
      </c>
      <c r="U1006" s="2">
        <v>2</v>
      </c>
      <c r="V1006" s="2">
        <v>35</v>
      </c>
      <c r="W1006" s="3">
        <f>V1006/S1006</f>
        <v>4.375</v>
      </c>
      <c r="X1006" s="3">
        <f>V1006/U1006</f>
        <v>17.5</v>
      </c>
      <c r="Y1006" s="4">
        <f>S1006*6/U1006</f>
        <v>24</v>
      </c>
      <c r="Z1006" s="2">
        <v>2</v>
      </c>
      <c r="AA1006" s="2">
        <v>0</v>
      </c>
      <c r="AB1006" s="2">
        <v>0</v>
      </c>
      <c r="AC1006" s="2">
        <v>0</v>
      </c>
    </row>
    <row r="1007" spans="1:29" x14ac:dyDescent="0.35">
      <c r="A1007" s="1" t="s">
        <v>1014</v>
      </c>
      <c r="B1007" s="1" t="s">
        <v>516</v>
      </c>
      <c r="C1007">
        <f>D1007+E1007+F1007+G1007+H1007+I1007</f>
        <v>5</v>
      </c>
      <c r="D1007" s="2">
        <v>0</v>
      </c>
      <c r="E1007" s="2">
        <v>5</v>
      </c>
      <c r="F1007" s="2">
        <v>0</v>
      </c>
      <c r="G1007" s="2">
        <v>0</v>
      </c>
      <c r="H1007" s="2">
        <v>0</v>
      </c>
      <c r="I1007" s="2">
        <v>0</v>
      </c>
      <c r="J1007" s="2">
        <v>5</v>
      </c>
      <c r="K1007">
        <f>J1007+L1007</f>
        <v>6</v>
      </c>
      <c r="L1007" s="2">
        <v>1</v>
      </c>
      <c r="M1007" s="2">
        <v>0</v>
      </c>
      <c r="N1007" s="2">
        <v>50</v>
      </c>
      <c r="O1007" s="3">
        <f>N1007/J1007</f>
        <v>10</v>
      </c>
      <c r="P1007" s="2">
        <v>0</v>
      </c>
      <c r="Q1007" s="2">
        <v>0</v>
      </c>
      <c r="R1007" s="2">
        <v>18</v>
      </c>
      <c r="S1007" s="2">
        <v>6</v>
      </c>
      <c r="T1007" s="2">
        <v>1</v>
      </c>
      <c r="U1007" s="2">
        <v>0</v>
      </c>
      <c r="V1007" s="2">
        <v>27</v>
      </c>
      <c r="W1007" s="3">
        <f>V1007/S1007</f>
        <v>4.5</v>
      </c>
      <c r="X1007" s="3" t="e">
        <f>V1007/U1007</f>
        <v>#DIV/0!</v>
      </c>
      <c r="Y1007" s="4" t="e">
        <f>S1007*6/U1007</f>
        <v>#DIV/0!</v>
      </c>
      <c r="Z1007" s="2">
        <v>0</v>
      </c>
      <c r="AA1007" s="2">
        <v>0</v>
      </c>
      <c r="AB1007" s="2">
        <v>0</v>
      </c>
      <c r="AC1007" s="2">
        <v>1</v>
      </c>
    </row>
    <row r="1008" spans="1:29" x14ac:dyDescent="0.35">
      <c r="A1008" s="11" t="s">
        <v>1150</v>
      </c>
      <c r="B1008" s="11" t="s">
        <v>1151</v>
      </c>
      <c r="C1008">
        <f>D1008+E1008+F1008+G1008+H1008+I1008</f>
        <v>8</v>
      </c>
      <c r="D1008" s="2">
        <v>0</v>
      </c>
      <c r="E1008" s="2">
        <v>0</v>
      </c>
      <c r="F1008" s="2">
        <v>0</v>
      </c>
      <c r="G1008" s="2">
        <v>8</v>
      </c>
      <c r="H1008" s="2">
        <v>0</v>
      </c>
      <c r="I1008" s="2">
        <v>0</v>
      </c>
      <c r="J1008" s="2">
        <v>7</v>
      </c>
      <c r="K1008">
        <f>J1008+L1008</f>
        <v>8</v>
      </c>
      <c r="L1008" s="2">
        <v>1</v>
      </c>
      <c r="M1008" s="2">
        <v>0</v>
      </c>
      <c r="N1008" s="2">
        <v>64</v>
      </c>
      <c r="O1008" s="3">
        <f>N1008/J1008</f>
        <v>9.1428571428571423</v>
      </c>
      <c r="P1008" s="2">
        <v>0</v>
      </c>
      <c r="Q1008" s="2">
        <v>0</v>
      </c>
      <c r="R1008" s="2">
        <v>25</v>
      </c>
      <c r="S1008" s="11">
        <v>1</v>
      </c>
      <c r="T1008" s="11">
        <v>0</v>
      </c>
      <c r="U1008" s="11">
        <v>0</v>
      </c>
      <c r="V1008" s="11">
        <v>14</v>
      </c>
      <c r="W1008" s="3">
        <v>14</v>
      </c>
      <c r="X1008" s="3">
        <v>0</v>
      </c>
      <c r="Y1008" s="4">
        <v>0</v>
      </c>
      <c r="Z1008" s="11" t="s">
        <v>1152</v>
      </c>
      <c r="AA1008" s="11">
        <v>0</v>
      </c>
      <c r="AB1008" s="2">
        <v>0</v>
      </c>
      <c r="AC1008" s="2">
        <v>2</v>
      </c>
    </row>
    <row r="1009" spans="1:29" x14ac:dyDescent="0.35">
      <c r="A1009" s="34" t="s">
        <v>1015</v>
      </c>
      <c r="B1009" s="34" t="s">
        <v>83</v>
      </c>
      <c r="C1009">
        <f>D1009+E1009+F1009+G1009+H1009+I1009</f>
        <v>70</v>
      </c>
      <c r="D1009" s="5">
        <v>0</v>
      </c>
      <c r="E1009" s="5">
        <v>2</v>
      </c>
      <c r="F1009" s="5">
        <v>13</v>
      </c>
      <c r="G1009" s="5">
        <v>3</v>
      </c>
      <c r="H1009" s="5">
        <v>48</v>
      </c>
      <c r="I1009" s="5">
        <v>4</v>
      </c>
      <c r="J1009" s="5">
        <v>72</v>
      </c>
      <c r="K1009">
        <f>J1009+L1009</f>
        <v>78</v>
      </c>
      <c r="L1009" s="5">
        <v>6</v>
      </c>
      <c r="M1009" s="5">
        <v>10</v>
      </c>
      <c r="N1009" s="5">
        <v>1923</v>
      </c>
      <c r="O1009" s="3">
        <f>N1009/J1009</f>
        <v>26.708333333333332</v>
      </c>
      <c r="P1009" s="5">
        <v>10</v>
      </c>
      <c r="Q1009" s="5">
        <v>2</v>
      </c>
      <c r="R1009" s="5">
        <v>125</v>
      </c>
      <c r="S1009" s="40">
        <v>821</v>
      </c>
      <c r="T1009" s="40">
        <v>156</v>
      </c>
      <c r="U1009" s="40">
        <v>132</v>
      </c>
      <c r="V1009" s="40">
        <v>2357</v>
      </c>
      <c r="W1009" s="3">
        <f>V1009/S1009</f>
        <v>2.8708891595615103</v>
      </c>
      <c r="X1009" s="3">
        <f>V1009/U1009</f>
        <v>17.856060606060606</v>
      </c>
      <c r="Y1009" s="4">
        <f>S1009*6/U1009</f>
        <v>37.31818181818182</v>
      </c>
      <c r="Z1009" s="40">
        <v>6</v>
      </c>
      <c r="AA1009" s="40">
        <v>4</v>
      </c>
      <c r="AB1009" s="5">
        <v>0</v>
      </c>
      <c r="AC1009" s="5">
        <v>11</v>
      </c>
    </row>
    <row r="1010" spans="1:29" x14ac:dyDescent="0.35">
      <c r="A1010" s="1" t="s">
        <v>1016</v>
      </c>
      <c r="B1010" s="1" t="s">
        <v>1017</v>
      </c>
      <c r="C1010">
        <f>D1010+E1010+F1010+G1010+H1010+I1010</f>
        <v>43</v>
      </c>
      <c r="D1010" s="2">
        <v>0</v>
      </c>
      <c r="E1010" s="2">
        <v>1</v>
      </c>
      <c r="F1010" s="2">
        <v>1</v>
      </c>
      <c r="G1010" s="2">
        <v>1</v>
      </c>
      <c r="H1010" s="2">
        <v>40</v>
      </c>
      <c r="I1010" s="2">
        <v>0</v>
      </c>
      <c r="J1010" s="2">
        <v>32</v>
      </c>
      <c r="K1010">
        <f>J1010+L1010</f>
        <v>34</v>
      </c>
      <c r="L1010" s="2">
        <v>2</v>
      </c>
      <c r="M1010" s="2">
        <v>8</v>
      </c>
      <c r="N1010" s="2">
        <v>608</v>
      </c>
      <c r="O1010" s="3">
        <f>N1010/J1010</f>
        <v>19</v>
      </c>
      <c r="P1010" s="2">
        <v>2</v>
      </c>
      <c r="Q1010" s="2">
        <v>0</v>
      </c>
      <c r="R1010" s="2">
        <v>99</v>
      </c>
      <c r="S1010" s="2">
        <v>19</v>
      </c>
      <c r="T1010" s="2">
        <v>2</v>
      </c>
      <c r="U1010" s="2">
        <v>2</v>
      </c>
      <c r="V1010" s="2">
        <v>75</v>
      </c>
      <c r="W1010" s="3">
        <f>V1010/S1010</f>
        <v>3.9473684210526314</v>
      </c>
      <c r="X1010" s="3">
        <f>V1010/U1010</f>
        <v>37.5</v>
      </c>
      <c r="Y1010" s="4">
        <f>S1010*6/U1010</f>
        <v>57</v>
      </c>
      <c r="Z1010" s="2">
        <v>1</v>
      </c>
      <c r="AA1010" s="2">
        <v>0</v>
      </c>
      <c r="AB1010" s="2">
        <v>0</v>
      </c>
      <c r="AC1010" s="2">
        <v>23</v>
      </c>
    </row>
    <row r="1011" spans="1:29" x14ac:dyDescent="0.35">
      <c r="A1011" s="1" t="s">
        <v>1016</v>
      </c>
      <c r="B1011" s="1" t="s">
        <v>1308</v>
      </c>
      <c r="C1011">
        <f>D1011+E1011+F1011+G1011+H1011+I1011</f>
        <v>74</v>
      </c>
      <c r="D1011" s="2">
        <v>0</v>
      </c>
      <c r="E1011" s="2">
        <v>0</v>
      </c>
      <c r="F1011" s="2">
        <v>0</v>
      </c>
      <c r="G1011" s="2">
        <v>1</v>
      </c>
      <c r="H1011" s="2">
        <v>71</v>
      </c>
      <c r="I1011" s="2">
        <v>2</v>
      </c>
      <c r="J1011" s="2">
        <v>48</v>
      </c>
      <c r="K1011">
        <f>J1011+L1011</f>
        <v>56</v>
      </c>
      <c r="L1011" s="2">
        <v>8</v>
      </c>
      <c r="M1011" s="2">
        <v>18</v>
      </c>
      <c r="N1011" s="2">
        <v>1309</v>
      </c>
      <c r="O1011" s="3">
        <f>N1011/J1011</f>
        <v>27.270833333333332</v>
      </c>
      <c r="P1011" s="2">
        <v>5</v>
      </c>
      <c r="Q1011" s="2">
        <v>0</v>
      </c>
      <c r="R1011" s="2">
        <v>75</v>
      </c>
      <c r="S1011" s="2">
        <v>746</v>
      </c>
      <c r="T1011" s="2">
        <v>131</v>
      </c>
      <c r="U1011" s="2">
        <v>139</v>
      </c>
      <c r="V1011" s="2">
        <v>1921</v>
      </c>
      <c r="W1011" s="3">
        <f>V1011/S1011</f>
        <v>2.5750670241286864</v>
      </c>
      <c r="X1011" s="3">
        <f>V1011/U1011</f>
        <v>13.820143884892087</v>
      </c>
      <c r="Y1011" s="4">
        <f>S1011*6/U1011</f>
        <v>32.201438848920866</v>
      </c>
      <c r="Z1011" s="2">
        <v>7</v>
      </c>
      <c r="AA1011" s="2">
        <v>4</v>
      </c>
      <c r="AB1011" s="2">
        <v>0</v>
      </c>
      <c r="AC1011" s="2">
        <v>20</v>
      </c>
    </row>
    <row r="1012" spans="1:29" x14ac:dyDescent="0.35">
      <c r="A1012" s="1" t="s">
        <v>1016</v>
      </c>
      <c r="B1012" s="1" t="s">
        <v>1018</v>
      </c>
      <c r="C1012">
        <f>D1012+E1012+F1012+G1012+H1012+I1012</f>
        <v>50</v>
      </c>
      <c r="D1012" s="2">
        <v>0</v>
      </c>
      <c r="E1012" s="2">
        <v>0</v>
      </c>
      <c r="F1012" s="2">
        <v>2</v>
      </c>
      <c r="G1012" s="2">
        <v>1</v>
      </c>
      <c r="H1012" s="2">
        <v>47</v>
      </c>
      <c r="I1012" s="2">
        <v>0</v>
      </c>
      <c r="J1012" s="2">
        <v>39</v>
      </c>
      <c r="K1012">
        <f>J1012+L1012</f>
        <v>41</v>
      </c>
      <c r="L1012" s="2">
        <v>2</v>
      </c>
      <c r="M1012" s="2">
        <v>8</v>
      </c>
      <c r="N1012" s="2">
        <v>1302</v>
      </c>
      <c r="O1012" s="3">
        <f>N1012/J1012</f>
        <v>33.384615384615387</v>
      </c>
      <c r="P1012" s="2">
        <v>8</v>
      </c>
      <c r="Q1012" s="2">
        <v>1</v>
      </c>
      <c r="R1012" s="2">
        <v>125</v>
      </c>
      <c r="S1012" s="2">
        <v>185</v>
      </c>
      <c r="T1012" s="2">
        <v>16</v>
      </c>
      <c r="U1012" s="2">
        <v>28</v>
      </c>
      <c r="V1012" s="2">
        <v>747</v>
      </c>
      <c r="W1012" s="3">
        <f>V1012/S1012</f>
        <v>4.0378378378378379</v>
      </c>
      <c r="X1012" s="3">
        <f>V1012/U1012</f>
        <v>26.678571428571427</v>
      </c>
      <c r="Y1012" s="4">
        <f>S1012*6/U1012</f>
        <v>39.642857142857146</v>
      </c>
      <c r="Z1012" s="2">
        <v>3</v>
      </c>
      <c r="AA1012" s="2">
        <v>0</v>
      </c>
      <c r="AB1012" s="2">
        <v>0</v>
      </c>
      <c r="AC1012" s="2">
        <v>9</v>
      </c>
    </row>
    <row r="1013" spans="1:29" x14ac:dyDescent="0.35">
      <c r="A1013" s="1" t="s">
        <v>1019</v>
      </c>
      <c r="B1013" s="1" t="s">
        <v>1020</v>
      </c>
      <c r="C1013">
        <f>D1013+E1013+F1013+G1013+H1013+I1013</f>
        <v>24</v>
      </c>
      <c r="D1013" s="2">
        <v>0</v>
      </c>
      <c r="E1013" s="2">
        <v>0</v>
      </c>
      <c r="F1013" s="2">
        <v>1</v>
      </c>
      <c r="G1013" s="2">
        <v>21</v>
      </c>
      <c r="H1013" s="2">
        <v>0</v>
      </c>
      <c r="I1013" s="2">
        <v>2</v>
      </c>
      <c r="J1013" s="2">
        <v>19</v>
      </c>
      <c r="K1013">
        <f>J1013+L1013</f>
        <v>20</v>
      </c>
      <c r="L1013" s="2">
        <v>1</v>
      </c>
      <c r="M1013" s="2">
        <v>4</v>
      </c>
      <c r="N1013" s="2">
        <v>221</v>
      </c>
      <c r="O1013" s="3">
        <f>N1013/J1013</f>
        <v>11.631578947368421</v>
      </c>
      <c r="P1013" s="2">
        <v>0</v>
      </c>
      <c r="Q1013" s="2">
        <v>0</v>
      </c>
      <c r="R1013" s="2">
        <v>32</v>
      </c>
      <c r="S1013" s="2">
        <v>60</v>
      </c>
      <c r="T1013" s="2">
        <v>5</v>
      </c>
      <c r="U1013" s="2">
        <v>16</v>
      </c>
      <c r="V1013" s="2">
        <v>215</v>
      </c>
      <c r="W1013" s="3">
        <f>V1013/S1013</f>
        <v>3.5833333333333335</v>
      </c>
      <c r="X1013" s="3">
        <f>V1013/U1013</f>
        <v>13.4375</v>
      </c>
      <c r="Y1013" s="4">
        <f>S1013*6/U1013</f>
        <v>22.5</v>
      </c>
      <c r="Z1013" s="2">
        <v>3</v>
      </c>
      <c r="AA1013" s="2">
        <v>0</v>
      </c>
      <c r="AB1013" s="2">
        <v>0</v>
      </c>
      <c r="AC1013" s="2">
        <v>3</v>
      </c>
    </row>
    <row r="1014" spans="1:29" x14ac:dyDescent="0.35">
      <c r="A1014" s="1" t="s">
        <v>1021</v>
      </c>
      <c r="B1014" s="1" t="s">
        <v>149</v>
      </c>
      <c r="C1014">
        <f>D1014+E1014+F1014+G1014+H1014+I1014</f>
        <v>1</v>
      </c>
      <c r="D1014" s="2">
        <v>0</v>
      </c>
      <c r="E1014" s="2">
        <v>0</v>
      </c>
      <c r="F1014" s="2">
        <v>0</v>
      </c>
      <c r="G1014" s="2">
        <v>1</v>
      </c>
      <c r="H1014" s="2">
        <v>0</v>
      </c>
      <c r="I1014" s="2">
        <v>0</v>
      </c>
      <c r="J1014" s="2">
        <v>0</v>
      </c>
      <c r="K1014">
        <f>J1014+L1014</f>
        <v>1</v>
      </c>
      <c r="L1014" s="2">
        <v>1</v>
      </c>
      <c r="M1014" s="2">
        <v>0</v>
      </c>
      <c r="N1014" s="2">
        <v>18</v>
      </c>
      <c r="O1014" s="3" t="e">
        <f>N1014/J1014</f>
        <v>#DIV/0!</v>
      </c>
      <c r="P1014" s="2">
        <v>0</v>
      </c>
      <c r="Q1014" s="2">
        <v>0</v>
      </c>
      <c r="R1014" s="2">
        <v>18</v>
      </c>
      <c r="S1014" s="2">
        <v>6</v>
      </c>
      <c r="T1014" s="2">
        <v>0</v>
      </c>
      <c r="U1014" s="2">
        <v>0</v>
      </c>
      <c r="V1014" s="2">
        <v>23</v>
      </c>
      <c r="W1014" s="3">
        <f>V1014/S1014</f>
        <v>3.8333333333333335</v>
      </c>
      <c r="X1014" s="3" t="e">
        <f>V1014/U1014</f>
        <v>#DIV/0!</v>
      </c>
      <c r="Y1014" s="4" t="e">
        <f>S1014*6/U1014</f>
        <v>#DIV/0!</v>
      </c>
      <c r="Z1014" s="2">
        <v>0</v>
      </c>
      <c r="AA1014" s="2">
        <v>0</v>
      </c>
      <c r="AB1014" s="2">
        <v>0</v>
      </c>
      <c r="AC1014" s="2">
        <v>0</v>
      </c>
    </row>
    <row r="1015" spans="1:29" x14ac:dyDescent="0.35">
      <c r="A1015" s="1" t="s">
        <v>1022</v>
      </c>
      <c r="B1015" s="1" t="s">
        <v>325</v>
      </c>
      <c r="C1015">
        <f>D1015+E1015+F1015+G1015+H1015+I1015</f>
        <v>7</v>
      </c>
      <c r="D1015" s="2">
        <v>0</v>
      </c>
      <c r="E1015" s="2">
        <v>7</v>
      </c>
      <c r="F1015" s="2">
        <v>0</v>
      </c>
      <c r="G1015" s="2">
        <v>0</v>
      </c>
      <c r="H1015" s="2">
        <v>0</v>
      </c>
      <c r="I1015" s="2">
        <v>0</v>
      </c>
      <c r="J1015" s="2">
        <v>6</v>
      </c>
      <c r="K1015">
        <f>J1015+L1015</f>
        <v>8</v>
      </c>
      <c r="L1015" s="2">
        <v>2</v>
      </c>
      <c r="M1015" s="2">
        <v>0</v>
      </c>
      <c r="N1015" s="2">
        <v>102</v>
      </c>
      <c r="O1015" s="3">
        <f>N1015/J1015</f>
        <v>17</v>
      </c>
      <c r="P1015" s="2">
        <v>1</v>
      </c>
      <c r="Q1015" s="2">
        <v>0</v>
      </c>
      <c r="R1015" s="2">
        <v>51</v>
      </c>
      <c r="S1015" s="2">
        <v>47</v>
      </c>
      <c r="T1015" s="2">
        <v>14</v>
      </c>
      <c r="U1015" s="2">
        <v>9</v>
      </c>
      <c r="V1015" s="2">
        <v>116</v>
      </c>
      <c r="W1015" s="3">
        <f>V1015/S1015</f>
        <v>2.4680851063829787</v>
      </c>
      <c r="X1015" s="3">
        <f>V1015/U1015</f>
        <v>12.888888888888889</v>
      </c>
      <c r="Y1015" s="4">
        <f>S1015*6/U1015</f>
        <v>31.333333333333332</v>
      </c>
      <c r="Z1015" s="2">
        <v>4</v>
      </c>
      <c r="AA1015" s="2">
        <v>0</v>
      </c>
      <c r="AB1015" s="2">
        <v>0</v>
      </c>
      <c r="AC1015" s="2">
        <v>0</v>
      </c>
    </row>
    <row r="1016" spans="1:29" x14ac:dyDescent="0.35">
      <c r="A1016" s="1" t="s">
        <v>1023</v>
      </c>
      <c r="B1016" s="1" t="s">
        <v>172</v>
      </c>
      <c r="C1016">
        <f>D1016+E1016+F1016+G1016+H1016+I1016</f>
        <v>80</v>
      </c>
      <c r="D1016" s="2">
        <v>0</v>
      </c>
      <c r="E1016" s="2">
        <v>33</v>
      </c>
      <c r="F1016" s="2">
        <v>6</v>
      </c>
      <c r="G1016" s="2">
        <v>25</v>
      </c>
      <c r="H1016" s="2">
        <v>4</v>
      </c>
      <c r="I1016" s="2">
        <v>12</v>
      </c>
      <c r="J1016" s="2">
        <v>98</v>
      </c>
      <c r="K1016">
        <f>J1016+L1016</f>
        <v>101</v>
      </c>
      <c r="L1016" s="2">
        <v>3</v>
      </c>
      <c r="M1016" s="2">
        <v>9</v>
      </c>
      <c r="N1016" s="2">
        <v>1845</v>
      </c>
      <c r="O1016" s="3">
        <f>N1016/J1016</f>
        <v>18.826530612244898</v>
      </c>
      <c r="P1016" s="2">
        <v>11</v>
      </c>
      <c r="Q1016" s="2">
        <v>0</v>
      </c>
      <c r="R1016" s="2">
        <v>77</v>
      </c>
      <c r="S1016" s="2">
        <v>315</v>
      </c>
      <c r="T1016" s="2">
        <v>60</v>
      </c>
      <c r="U1016" s="2">
        <v>59</v>
      </c>
      <c r="V1016" s="2">
        <v>1078</v>
      </c>
      <c r="W1016" s="3">
        <f>V1016/S1016</f>
        <v>3.4222222222222221</v>
      </c>
      <c r="X1016" s="3">
        <f>V1016/U1016</f>
        <v>18.271186440677965</v>
      </c>
      <c r="Y1016" s="4">
        <f>S1016*6/U1016</f>
        <v>32.033898305084747</v>
      </c>
      <c r="Z1016" s="2">
        <v>6</v>
      </c>
      <c r="AA1016" s="2">
        <v>2</v>
      </c>
      <c r="AB1016" s="2">
        <v>0</v>
      </c>
      <c r="AC1016" s="2">
        <v>18</v>
      </c>
    </row>
    <row r="1017" spans="1:29" x14ac:dyDescent="0.35">
      <c r="A1017" s="1" t="s">
        <v>1023</v>
      </c>
      <c r="B1017" s="1" t="s">
        <v>18</v>
      </c>
      <c r="C1017">
        <f>D1017+E1017+F1017+G1017+H1017+I1017</f>
        <v>28</v>
      </c>
      <c r="D1017" s="2">
        <v>0</v>
      </c>
      <c r="E1017" s="2">
        <v>2</v>
      </c>
      <c r="F1017" s="2">
        <v>8</v>
      </c>
      <c r="G1017" s="2">
        <v>16</v>
      </c>
      <c r="H1017" s="2">
        <v>2</v>
      </c>
      <c r="I1017" s="2">
        <v>0</v>
      </c>
      <c r="J1017" s="2">
        <v>28</v>
      </c>
      <c r="K1017">
        <f>J1017+L1017</f>
        <v>29</v>
      </c>
      <c r="L1017" s="2">
        <v>1</v>
      </c>
      <c r="M1017" s="2">
        <v>3</v>
      </c>
      <c r="N1017" s="2">
        <v>376</v>
      </c>
      <c r="O1017" s="3">
        <f>N1017/J1017</f>
        <v>13.428571428571429</v>
      </c>
      <c r="P1017" s="2">
        <v>1</v>
      </c>
      <c r="Q1017" s="2">
        <v>0</v>
      </c>
      <c r="R1017" s="2">
        <v>53</v>
      </c>
      <c r="S1017" s="2">
        <v>95</v>
      </c>
      <c r="T1017" s="2">
        <v>13</v>
      </c>
      <c r="U1017" s="2">
        <v>13</v>
      </c>
      <c r="V1017" s="2">
        <v>386</v>
      </c>
      <c r="W1017" s="3">
        <f>V1017/S1017</f>
        <v>4.0631578947368423</v>
      </c>
      <c r="X1017" s="3">
        <f>V1017/U1017</f>
        <v>29.692307692307693</v>
      </c>
      <c r="Y1017" s="4">
        <f>S1017*6/U1017</f>
        <v>43.846153846153847</v>
      </c>
      <c r="Z1017" s="2">
        <v>2</v>
      </c>
      <c r="AA1017" s="2">
        <v>0</v>
      </c>
      <c r="AB1017" s="2">
        <v>0</v>
      </c>
      <c r="AC1017" s="2">
        <v>4</v>
      </c>
    </row>
    <row r="1018" spans="1:29" x14ac:dyDescent="0.35">
      <c r="A1018" t="s">
        <v>1344</v>
      </c>
      <c r="B1018" t="s">
        <v>1345</v>
      </c>
      <c r="C1018">
        <f>D1018+E1018+F1018+G1018+H1018+I1018</f>
        <v>1</v>
      </c>
      <c r="D1018" s="5">
        <v>0</v>
      </c>
      <c r="E1018" s="5">
        <v>0</v>
      </c>
      <c r="F1018" s="5">
        <v>0</v>
      </c>
      <c r="G1018" s="5">
        <v>1</v>
      </c>
      <c r="H1018" s="5">
        <v>0</v>
      </c>
      <c r="I1018" s="5">
        <v>0</v>
      </c>
      <c r="J1018" s="5">
        <v>0</v>
      </c>
      <c r="K1018">
        <f>J1018+L1018</f>
        <v>0</v>
      </c>
      <c r="L1018" s="5">
        <v>0</v>
      </c>
      <c r="M1018" s="5">
        <v>1</v>
      </c>
      <c r="N1018" s="5">
        <v>0</v>
      </c>
      <c r="O1018" s="3" t="e">
        <f>N1018/J1018</f>
        <v>#DIV/0!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3">
        <v>0</v>
      </c>
      <c r="X1018" s="3" t="e">
        <f>V1018/U1018</f>
        <v>#DIV/0!</v>
      </c>
      <c r="Y1018" s="4" t="e">
        <f>S1018*6/U1018</f>
        <v>#DIV/0!</v>
      </c>
      <c r="Z1018" s="5">
        <v>0</v>
      </c>
      <c r="AA1018" s="5">
        <v>0</v>
      </c>
      <c r="AB1018" s="5">
        <v>0</v>
      </c>
      <c r="AC1018" s="5">
        <v>1</v>
      </c>
    </row>
    <row r="1019" spans="1:29" x14ac:dyDescent="0.35">
      <c r="A1019" s="1" t="s">
        <v>1024</v>
      </c>
      <c r="B1019" s="1" t="s">
        <v>812</v>
      </c>
      <c r="C1019">
        <f>D1019+E1019+F1019+G1019+H1019+I1019</f>
        <v>1</v>
      </c>
      <c r="D1019" s="2">
        <v>0</v>
      </c>
      <c r="E1019" s="2">
        <v>0</v>
      </c>
      <c r="F1019" s="2">
        <v>0</v>
      </c>
      <c r="G1019" s="2">
        <v>0</v>
      </c>
      <c r="H1019" s="2">
        <v>1</v>
      </c>
      <c r="I1019" s="2">
        <v>0</v>
      </c>
      <c r="J1019" s="2">
        <v>1</v>
      </c>
      <c r="K1019">
        <f>J1019+L1019</f>
        <v>1</v>
      </c>
      <c r="L1019" s="2">
        <v>0</v>
      </c>
      <c r="M1019" s="2">
        <v>0</v>
      </c>
      <c r="N1019" s="2">
        <v>0</v>
      </c>
      <c r="O1019" s="3">
        <f>N1019/J1019</f>
        <v>0</v>
      </c>
      <c r="P1019" s="2">
        <v>0</v>
      </c>
      <c r="Q1019" s="2">
        <v>0</v>
      </c>
      <c r="R1019" s="2">
        <v>0</v>
      </c>
      <c r="S1019" s="2">
        <v>1</v>
      </c>
      <c r="T1019" s="2">
        <v>0</v>
      </c>
      <c r="U1019" s="2">
        <v>0</v>
      </c>
      <c r="V1019" s="2">
        <v>5</v>
      </c>
      <c r="W1019" s="3">
        <f>V1019/S1019</f>
        <v>5</v>
      </c>
      <c r="X1019" s="3" t="e">
        <f>V1019/U1019</f>
        <v>#DIV/0!</v>
      </c>
      <c r="Y1019" s="4" t="e">
        <f>S1019*6/U1019</f>
        <v>#DIV/0!</v>
      </c>
      <c r="Z1019" s="2">
        <v>0</v>
      </c>
      <c r="AA1019" s="2">
        <v>0</v>
      </c>
      <c r="AB1019" s="2">
        <v>0</v>
      </c>
      <c r="AC1019" s="2">
        <v>0</v>
      </c>
    </row>
    <row r="1020" spans="1:29" x14ac:dyDescent="0.35">
      <c r="A1020" s="1" t="s">
        <v>1025</v>
      </c>
      <c r="B1020" s="1" t="s">
        <v>226</v>
      </c>
      <c r="C1020">
        <f>D1020+E1020+F1020+G1020+H1020+I1020</f>
        <v>36</v>
      </c>
      <c r="D1020" s="2">
        <v>1</v>
      </c>
      <c r="E1020" s="2">
        <v>9</v>
      </c>
      <c r="F1020" s="2">
        <v>5</v>
      </c>
      <c r="G1020" s="2">
        <v>16</v>
      </c>
      <c r="H1020" s="2">
        <v>2</v>
      </c>
      <c r="I1020" s="2">
        <v>3</v>
      </c>
      <c r="J1020" s="2">
        <v>42</v>
      </c>
      <c r="K1020">
        <f>J1020+L1020</f>
        <v>45</v>
      </c>
      <c r="L1020" s="2">
        <v>3</v>
      </c>
      <c r="M1020" s="2">
        <v>3</v>
      </c>
      <c r="N1020" s="2">
        <v>804</v>
      </c>
      <c r="O1020" s="3">
        <f>N1020/J1020</f>
        <v>19.142857142857142</v>
      </c>
      <c r="P1020" s="2">
        <v>3</v>
      </c>
      <c r="Q1020" s="2">
        <v>1</v>
      </c>
      <c r="R1020" s="2">
        <v>117</v>
      </c>
      <c r="S1020" s="2">
        <v>76</v>
      </c>
      <c r="T1020" s="2">
        <v>12</v>
      </c>
      <c r="U1020" s="2">
        <v>10</v>
      </c>
      <c r="V1020" s="2">
        <v>246</v>
      </c>
      <c r="W1020" s="3">
        <f>V1020/S1020</f>
        <v>3.236842105263158</v>
      </c>
      <c r="X1020" s="3">
        <f>V1020/U1020</f>
        <v>24.6</v>
      </c>
      <c r="Y1020" s="4">
        <f>S1020*6/U1020</f>
        <v>45.6</v>
      </c>
      <c r="Z1020" s="2">
        <v>4</v>
      </c>
      <c r="AA1020" s="2">
        <v>0</v>
      </c>
      <c r="AB1020" s="2">
        <v>0</v>
      </c>
      <c r="AC1020" s="2">
        <v>10</v>
      </c>
    </row>
    <row r="1021" spans="1:29" x14ac:dyDescent="0.35">
      <c r="A1021" s="1" t="s">
        <v>1137</v>
      </c>
      <c r="B1021" s="1" t="s">
        <v>77</v>
      </c>
      <c r="C1021">
        <f>D1021+E1021+F1021+G1021+H1021+I1021</f>
        <v>4</v>
      </c>
      <c r="D1021" s="2">
        <v>0</v>
      </c>
      <c r="E1021" s="2">
        <v>0</v>
      </c>
      <c r="F1021" s="2">
        <v>1</v>
      </c>
      <c r="G1021" s="2">
        <v>0</v>
      </c>
      <c r="H1021" s="2">
        <v>0</v>
      </c>
      <c r="I1021" s="2">
        <v>3</v>
      </c>
      <c r="J1021" s="2">
        <v>2</v>
      </c>
      <c r="K1021">
        <f>J1021+L1021</f>
        <v>3</v>
      </c>
      <c r="L1021" s="2">
        <v>1</v>
      </c>
      <c r="M1021" s="2">
        <v>1</v>
      </c>
      <c r="N1021" s="2">
        <v>1</v>
      </c>
      <c r="O1021" s="3">
        <f>N1021/J1021</f>
        <v>0.5</v>
      </c>
      <c r="P1021" s="2">
        <v>0</v>
      </c>
      <c r="Q1021" s="2">
        <v>0</v>
      </c>
      <c r="R1021" s="2" t="s">
        <v>1273</v>
      </c>
      <c r="S1021" s="2">
        <v>3.3</v>
      </c>
      <c r="T1021" s="2">
        <v>0</v>
      </c>
      <c r="U1021" s="2">
        <v>0</v>
      </c>
      <c r="V1021" s="2">
        <v>22</v>
      </c>
      <c r="W1021" s="3">
        <f>V1021/S1021</f>
        <v>6.666666666666667</v>
      </c>
      <c r="X1021" s="3" t="e">
        <f>V1021/U1021</f>
        <v>#DIV/0!</v>
      </c>
      <c r="Y1021" s="4" t="e">
        <f>S1021*6/U1021</f>
        <v>#DIV/0!</v>
      </c>
      <c r="Z1021" s="11" t="s">
        <v>1293</v>
      </c>
      <c r="AA1021" s="2">
        <v>0</v>
      </c>
      <c r="AB1021" s="2">
        <v>0</v>
      </c>
      <c r="AC1021" s="2">
        <v>0</v>
      </c>
    </row>
    <row r="1022" spans="1:29" x14ac:dyDescent="0.35">
      <c r="A1022" s="7" t="s">
        <v>1026</v>
      </c>
      <c r="B1022" s="7" t="s">
        <v>1027</v>
      </c>
      <c r="C1022">
        <f>D1022+E1022+F1022+G1022+H1022+I1022</f>
        <v>2</v>
      </c>
      <c r="D1022" s="5">
        <v>0</v>
      </c>
      <c r="E1022" s="5">
        <v>0</v>
      </c>
      <c r="F1022" s="5">
        <v>2</v>
      </c>
      <c r="G1022" s="5">
        <v>0</v>
      </c>
      <c r="H1022" s="5">
        <v>0</v>
      </c>
      <c r="I1022" s="5">
        <v>0</v>
      </c>
      <c r="J1022" s="5">
        <v>3</v>
      </c>
      <c r="K1022">
        <f>J1022+L1022</f>
        <v>3</v>
      </c>
      <c r="L1022" s="5">
        <v>0</v>
      </c>
      <c r="M1022" s="5">
        <v>0</v>
      </c>
      <c r="N1022" s="5">
        <v>15</v>
      </c>
      <c r="O1022" s="3">
        <f>N1022/J1022</f>
        <v>5</v>
      </c>
      <c r="P1022" s="5">
        <v>0</v>
      </c>
      <c r="Q1022" s="5">
        <v>0</v>
      </c>
      <c r="R1022" s="5">
        <v>9</v>
      </c>
      <c r="S1022" s="5">
        <v>26</v>
      </c>
      <c r="T1022" s="5">
        <v>8</v>
      </c>
      <c r="U1022" s="5">
        <v>2</v>
      </c>
      <c r="V1022" s="5">
        <v>61</v>
      </c>
      <c r="W1022" s="3">
        <f>V1022/S1022</f>
        <v>2.3461538461538463</v>
      </c>
      <c r="X1022" s="3">
        <f>V1022/U1022</f>
        <v>30.5</v>
      </c>
      <c r="Y1022" s="4">
        <f>S1022*6/U1022</f>
        <v>78</v>
      </c>
      <c r="Z1022" s="6">
        <v>2</v>
      </c>
      <c r="AA1022" s="5">
        <v>0</v>
      </c>
      <c r="AB1022" s="5">
        <v>0</v>
      </c>
      <c r="AC1022" s="5">
        <v>1</v>
      </c>
    </row>
    <row r="1023" spans="1:29" x14ac:dyDescent="0.35">
      <c r="A1023" s="1" t="s">
        <v>1028</v>
      </c>
      <c r="B1023" s="1" t="s">
        <v>149</v>
      </c>
      <c r="C1023">
        <f>D1023+E1023+F1023+G1023+H1023+I1023</f>
        <v>2</v>
      </c>
      <c r="D1023" s="2">
        <v>0</v>
      </c>
      <c r="E1023" s="2">
        <v>0</v>
      </c>
      <c r="F1023" s="2">
        <v>0</v>
      </c>
      <c r="G1023" s="2">
        <v>1</v>
      </c>
      <c r="H1023" s="2">
        <v>0</v>
      </c>
      <c r="I1023" s="2">
        <v>1</v>
      </c>
      <c r="J1023" s="2">
        <v>1</v>
      </c>
      <c r="K1023">
        <f>J1023+L1023</f>
        <v>2</v>
      </c>
      <c r="L1023" s="2">
        <v>1</v>
      </c>
      <c r="M1023" s="2">
        <v>0</v>
      </c>
      <c r="N1023" s="2">
        <v>13</v>
      </c>
      <c r="O1023" s="3">
        <f>N1023/J1023</f>
        <v>13</v>
      </c>
      <c r="P1023" s="2">
        <v>0</v>
      </c>
      <c r="Q1023" s="2">
        <v>0</v>
      </c>
      <c r="R1023" s="2">
        <v>13</v>
      </c>
      <c r="S1023" s="2">
        <v>0</v>
      </c>
      <c r="T1023" s="2">
        <v>0</v>
      </c>
      <c r="U1023" s="2">
        <v>0</v>
      </c>
      <c r="V1023" s="2">
        <v>0</v>
      </c>
      <c r="W1023" s="3" t="e">
        <f>V1023/S1023</f>
        <v>#DIV/0!</v>
      </c>
      <c r="X1023" s="3" t="e">
        <f>V1023/U1023</f>
        <v>#DIV/0!</v>
      </c>
      <c r="Y1023" s="4" t="e">
        <f>S1023*6/U1023</f>
        <v>#DIV/0!</v>
      </c>
      <c r="Z1023" s="2">
        <v>0</v>
      </c>
      <c r="AA1023" s="2">
        <v>0</v>
      </c>
      <c r="AB1023" s="2">
        <v>0</v>
      </c>
      <c r="AC1023" s="2">
        <v>2</v>
      </c>
    </row>
    <row r="1024" spans="1:29" x14ac:dyDescent="0.35">
      <c r="A1024" s="1" t="s">
        <v>1028</v>
      </c>
      <c r="B1024" s="1" t="s">
        <v>1029</v>
      </c>
      <c r="C1024">
        <f>D1024+E1024+F1024+G1024+H1024+I1024</f>
        <v>1</v>
      </c>
      <c r="D1024" s="2">
        <v>0</v>
      </c>
      <c r="E1024" s="2">
        <v>0</v>
      </c>
      <c r="F1024" s="2">
        <v>0</v>
      </c>
      <c r="G1024" s="2">
        <v>0</v>
      </c>
      <c r="H1024" s="2">
        <v>0</v>
      </c>
      <c r="I1024" s="2">
        <v>1</v>
      </c>
      <c r="J1024" s="2">
        <v>1</v>
      </c>
      <c r="K1024">
        <f>J1024+L1024</f>
        <v>1</v>
      </c>
      <c r="L1024" s="2">
        <v>0</v>
      </c>
      <c r="M1024" s="2">
        <v>0</v>
      </c>
      <c r="N1024" s="2">
        <v>4</v>
      </c>
      <c r="O1024" s="3">
        <f>N1024/J1024</f>
        <v>4</v>
      </c>
      <c r="P1024" s="2">
        <v>0</v>
      </c>
      <c r="Q1024" s="2">
        <v>0</v>
      </c>
      <c r="R1024" s="2">
        <v>4</v>
      </c>
      <c r="S1024" s="2">
        <v>0</v>
      </c>
      <c r="T1024" s="2">
        <v>0</v>
      </c>
      <c r="U1024" s="2">
        <v>0</v>
      </c>
      <c r="V1024" s="2">
        <v>0</v>
      </c>
      <c r="W1024" s="3" t="e">
        <f>V1024/S1024</f>
        <v>#DIV/0!</v>
      </c>
      <c r="X1024" s="3" t="e">
        <f>V1024/U1024</f>
        <v>#DIV/0!</v>
      </c>
      <c r="Y1024" s="4" t="e">
        <f>S1024*6/U1024</f>
        <v>#DIV/0!</v>
      </c>
      <c r="Z1024" s="2">
        <v>0</v>
      </c>
      <c r="AA1024" s="2">
        <v>0</v>
      </c>
      <c r="AB1024" s="2">
        <v>0</v>
      </c>
      <c r="AC1024" s="2">
        <v>0</v>
      </c>
    </row>
    <row r="1025" spans="1:29" x14ac:dyDescent="0.35">
      <c r="A1025" s="35" t="s">
        <v>1030</v>
      </c>
      <c r="B1025" s="35" t="s">
        <v>1256</v>
      </c>
      <c r="C1025">
        <f>D1025+E1025+F1025+G1025+H1025+I1025</f>
        <v>9</v>
      </c>
      <c r="D1025" s="2">
        <v>0</v>
      </c>
      <c r="E1025" s="2">
        <v>0</v>
      </c>
      <c r="F1025" s="2">
        <v>6</v>
      </c>
      <c r="G1025" s="2">
        <v>2</v>
      </c>
      <c r="H1025" s="2">
        <v>1</v>
      </c>
      <c r="I1025" s="2">
        <v>0</v>
      </c>
      <c r="J1025" s="2">
        <v>1</v>
      </c>
      <c r="K1025">
        <f>J1025+L1025</f>
        <v>6</v>
      </c>
      <c r="L1025" s="2">
        <v>5</v>
      </c>
      <c r="M1025" s="2">
        <v>3</v>
      </c>
      <c r="N1025" s="2">
        <v>21</v>
      </c>
      <c r="O1025" s="3">
        <f>N1025/J1025</f>
        <v>21</v>
      </c>
      <c r="P1025" s="2">
        <v>0</v>
      </c>
      <c r="Q1025" s="2">
        <v>0</v>
      </c>
      <c r="R1025" s="2" t="s">
        <v>1257</v>
      </c>
      <c r="S1025" s="2">
        <v>23</v>
      </c>
      <c r="T1025" s="2">
        <v>0</v>
      </c>
      <c r="U1025" s="2">
        <v>1</v>
      </c>
      <c r="V1025" s="2">
        <f>50+75</f>
        <v>125</v>
      </c>
      <c r="W1025" s="3">
        <f>V1025/S1025</f>
        <v>5.4347826086956523</v>
      </c>
      <c r="X1025" s="3">
        <f>V1025/U1025</f>
        <v>125</v>
      </c>
      <c r="Y1025" s="4">
        <f>S1025*6/U1025</f>
        <v>138</v>
      </c>
      <c r="Z1025" s="2" t="s">
        <v>1320</v>
      </c>
      <c r="AA1025" s="2">
        <v>0</v>
      </c>
      <c r="AB1025" s="2">
        <v>0</v>
      </c>
      <c r="AC1025" s="2">
        <v>0</v>
      </c>
    </row>
    <row r="1026" spans="1:29" x14ac:dyDescent="0.35">
      <c r="A1026" s="35" t="s">
        <v>1295</v>
      </c>
      <c r="B1026" s="35" t="s">
        <v>111</v>
      </c>
      <c r="C1026">
        <f>D1026+E1026+F1026+G1026+H1026+I1026</f>
        <v>19</v>
      </c>
      <c r="D1026" s="5">
        <v>19</v>
      </c>
      <c r="E1026" s="5">
        <v>0</v>
      </c>
      <c r="F1026" s="5">
        <v>0</v>
      </c>
      <c r="G1026" s="5">
        <v>0</v>
      </c>
      <c r="H1026" s="5">
        <v>0</v>
      </c>
      <c r="I1026" s="5">
        <v>0</v>
      </c>
      <c r="J1026" s="5">
        <v>15</v>
      </c>
      <c r="K1026">
        <f>J1026+L1026</f>
        <v>19</v>
      </c>
      <c r="L1026" s="5">
        <v>4</v>
      </c>
      <c r="M1026" s="5">
        <v>1</v>
      </c>
      <c r="N1026" s="5">
        <f>78+242</f>
        <v>320</v>
      </c>
      <c r="O1026" s="3">
        <f>N1026/J1026</f>
        <v>21.333333333333332</v>
      </c>
      <c r="P1026" s="5">
        <v>1</v>
      </c>
      <c r="Q1026" s="5">
        <v>0</v>
      </c>
      <c r="R1026" s="5">
        <v>58</v>
      </c>
      <c r="S1026" s="35">
        <f>45+89</f>
        <v>134</v>
      </c>
      <c r="T1026" s="35">
        <v>29</v>
      </c>
      <c r="U1026" s="35">
        <v>23</v>
      </c>
      <c r="V1026" s="35">
        <f>121+238</f>
        <v>359</v>
      </c>
      <c r="W1026" s="3">
        <f>V1026/S1026</f>
        <v>2.6791044776119404</v>
      </c>
      <c r="X1026" s="3">
        <f>V1026/U1026</f>
        <v>15.608695652173912</v>
      </c>
      <c r="Y1026" s="3">
        <f>270/U1026</f>
        <v>11.739130434782609</v>
      </c>
      <c r="Z1026" s="35" t="s">
        <v>1155</v>
      </c>
      <c r="AA1026" s="35">
        <v>2</v>
      </c>
      <c r="AB1026" s="5">
        <v>0</v>
      </c>
      <c r="AC1026" s="35">
        <v>4</v>
      </c>
    </row>
    <row r="1027" spans="1:29" x14ac:dyDescent="0.35">
      <c r="A1027" s="1" t="s">
        <v>1031</v>
      </c>
      <c r="B1027" s="1" t="s">
        <v>212</v>
      </c>
      <c r="C1027">
        <f>D1027+E1027+F1027+G1027+H1027+I1027</f>
        <v>38</v>
      </c>
      <c r="D1027" s="2">
        <v>2</v>
      </c>
      <c r="E1027" s="2">
        <v>21</v>
      </c>
      <c r="F1027" s="2">
        <v>5</v>
      </c>
      <c r="G1027" s="2">
        <v>9</v>
      </c>
      <c r="H1027" s="2">
        <v>0</v>
      </c>
      <c r="I1027" s="2">
        <v>1</v>
      </c>
      <c r="J1027" s="2">
        <v>30</v>
      </c>
      <c r="K1027">
        <f>J1027+L1027</f>
        <v>36</v>
      </c>
      <c r="L1027" s="2">
        <v>6</v>
      </c>
      <c r="M1027" s="2">
        <v>6</v>
      </c>
      <c r="N1027" s="2">
        <v>484</v>
      </c>
      <c r="O1027" s="3">
        <f>N1027/J1027</f>
        <v>16.133333333333333</v>
      </c>
      <c r="P1027" s="2">
        <v>3</v>
      </c>
      <c r="Q1027" s="2">
        <v>0</v>
      </c>
      <c r="R1027" s="2">
        <v>71</v>
      </c>
      <c r="S1027" s="2">
        <v>1</v>
      </c>
      <c r="T1027" s="2">
        <v>0</v>
      </c>
      <c r="U1027" s="2">
        <v>1</v>
      </c>
      <c r="V1027" s="2">
        <v>4</v>
      </c>
      <c r="W1027" s="3">
        <f>V1027/S1027</f>
        <v>4</v>
      </c>
      <c r="X1027" s="3">
        <f>V1027/U1027</f>
        <v>4</v>
      </c>
      <c r="Y1027" s="4">
        <f>S1027*6/U1027</f>
        <v>6</v>
      </c>
      <c r="Z1027" s="2">
        <v>1</v>
      </c>
      <c r="AA1027" s="2">
        <v>0</v>
      </c>
      <c r="AB1027" s="2">
        <v>0</v>
      </c>
      <c r="AC1027" s="2">
        <v>27</v>
      </c>
    </row>
    <row r="1028" spans="1:29" x14ac:dyDescent="0.35">
      <c r="A1028" s="1" t="s">
        <v>1031</v>
      </c>
      <c r="B1028" s="1" t="s">
        <v>1032</v>
      </c>
      <c r="C1028">
        <f>D1028+E1028+F1028+G1028+H1028+I1028</f>
        <v>58</v>
      </c>
      <c r="D1028" s="2">
        <v>2</v>
      </c>
      <c r="E1028" s="2">
        <v>54</v>
      </c>
      <c r="F1028" s="2">
        <v>1</v>
      </c>
      <c r="G1028" s="2">
        <v>1</v>
      </c>
      <c r="H1028" s="2">
        <v>0</v>
      </c>
      <c r="I1028" s="2">
        <v>0</v>
      </c>
      <c r="J1028" s="2">
        <v>55</v>
      </c>
      <c r="K1028">
        <f>J1028+L1028</f>
        <v>60</v>
      </c>
      <c r="L1028" s="2">
        <v>5</v>
      </c>
      <c r="M1028" s="2">
        <v>4</v>
      </c>
      <c r="N1028" s="2">
        <v>867</v>
      </c>
      <c r="O1028" s="3">
        <f>N1028/J1028</f>
        <v>15.763636363636364</v>
      </c>
      <c r="P1028" s="2">
        <v>4</v>
      </c>
      <c r="Q1028" s="2">
        <v>1</v>
      </c>
      <c r="R1028" s="2">
        <v>116</v>
      </c>
      <c r="S1028" s="2">
        <v>0</v>
      </c>
      <c r="T1028" s="2">
        <v>0</v>
      </c>
      <c r="U1028" s="2">
        <v>0</v>
      </c>
      <c r="V1028" s="2">
        <v>0</v>
      </c>
      <c r="W1028" s="3" t="e">
        <f>V1028/S1028</f>
        <v>#DIV/0!</v>
      </c>
      <c r="X1028" s="3" t="e">
        <f>V1028/U1028</f>
        <v>#DIV/0!</v>
      </c>
      <c r="Y1028" s="4" t="e">
        <f>S1028*6/U1028</f>
        <v>#DIV/0!</v>
      </c>
      <c r="Z1028" s="2">
        <v>0</v>
      </c>
      <c r="AA1028" s="2">
        <v>0</v>
      </c>
      <c r="AB1028" s="2">
        <v>0</v>
      </c>
      <c r="AC1028" s="2">
        <v>13</v>
      </c>
    </row>
    <row r="1029" spans="1:29" x14ac:dyDescent="0.35">
      <c r="A1029" s="1" t="s">
        <v>1031</v>
      </c>
      <c r="B1029" s="1" t="s">
        <v>281</v>
      </c>
      <c r="C1029">
        <f>D1029+E1029+F1029+G1029+H1029+I1029</f>
        <v>16</v>
      </c>
      <c r="D1029" s="2">
        <v>0</v>
      </c>
      <c r="E1029" s="2">
        <v>0</v>
      </c>
      <c r="F1029" s="2">
        <v>6</v>
      </c>
      <c r="G1029" s="2">
        <v>9</v>
      </c>
      <c r="H1029" s="2">
        <v>1</v>
      </c>
      <c r="I1029" s="2">
        <v>0</v>
      </c>
      <c r="J1029" s="2">
        <v>17</v>
      </c>
      <c r="K1029">
        <f>J1029+L1029</f>
        <v>18</v>
      </c>
      <c r="L1029" s="2">
        <v>1</v>
      </c>
      <c r="M1029" s="2">
        <v>5</v>
      </c>
      <c r="N1029" s="2">
        <v>89</v>
      </c>
      <c r="O1029" s="3">
        <f>N1029/J1029</f>
        <v>5.2352941176470589</v>
      </c>
      <c r="P1029" s="2">
        <v>0</v>
      </c>
      <c r="Q1029" s="2">
        <v>0</v>
      </c>
      <c r="R1029" s="2">
        <v>16</v>
      </c>
      <c r="S1029" s="2">
        <v>147</v>
      </c>
      <c r="T1029" s="2">
        <v>18</v>
      </c>
      <c r="U1029" s="2">
        <v>21</v>
      </c>
      <c r="V1029" s="2">
        <v>583</v>
      </c>
      <c r="W1029" s="3">
        <f>V1029/S1029</f>
        <v>3.9659863945578233</v>
      </c>
      <c r="X1029" s="3">
        <f>V1029/U1029</f>
        <v>27.761904761904763</v>
      </c>
      <c r="Y1029" s="4">
        <f>S1029*6/U1029</f>
        <v>42</v>
      </c>
      <c r="Z1029" s="2">
        <v>4</v>
      </c>
      <c r="AA1029" s="2">
        <v>0</v>
      </c>
      <c r="AB1029" s="2">
        <v>0</v>
      </c>
      <c r="AC1029" s="2">
        <v>2</v>
      </c>
    </row>
    <row r="1030" spans="1:29" x14ac:dyDescent="0.35">
      <c r="A1030" s="1" t="s">
        <v>1031</v>
      </c>
      <c r="B1030" s="1" t="s">
        <v>45</v>
      </c>
      <c r="C1030">
        <f>D1030+E1030+F1030+G1030+H1030+I1030</f>
        <v>10</v>
      </c>
      <c r="D1030" s="2">
        <v>2</v>
      </c>
      <c r="E1030" s="2">
        <v>0</v>
      </c>
      <c r="F1030" s="2">
        <v>8</v>
      </c>
      <c r="G1030" s="2">
        <v>0</v>
      </c>
      <c r="H1030" s="2">
        <v>0</v>
      </c>
      <c r="I1030" s="2">
        <v>0</v>
      </c>
      <c r="J1030" s="2">
        <v>10</v>
      </c>
      <c r="K1030">
        <f>J1030+L1030</f>
        <v>12</v>
      </c>
      <c r="L1030" s="2">
        <v>2</v>
      </c>
      <c r="M1030" s="2">
        <v>1</v>
      </c>
      <c r="N1030" s="2">
        <v>170</v>
      </c>
      <c r="O1030" s="3">
        <f>N1030/J1030</f>
        <v>17</v>
      </c>
      <c r="P1030" s="2">
        <v>0</v>
      </c>
      <c r="Q1030" s="2">
        <v>0</v>
      </c>
      <c r="R1030" s="2">
        <v>42</v>
      </c>
      <c r="S1030" s="2">
        <v>56</v>
      </c>
      <c r="T1030" s="2">
        <v>4</v>
      </c>
      <c r="U1030" s="2">
        <v>11</v>
      </c>
      <c r="V1030" s="2">
        <v>283</v>
      </c>
      <c r="W1030" s="3">
        <f>V1030/S1030</f>
        <v>5.0535714285714288</v>
      </c>
      <c r="X1030" s="3">
        <f>V1030/U1030</f>
        <v>25.727272727272727</v>
      </c>
      <c r="Y1030" s="4">
        <f>S1030*6/U1030</f>
        <v>30.545454545454547</v>
      </c>
      <c r="Z1030" s="2">
        <v>5</v>
      </c>
      <c r="AA1030" s="2">
        <v>0</v>
      </c>
      <c r="AB1030" s="2">
        <v>0</v>
      </c>
      <c r="AC1030" s="2">
        <v>0</v>
      </c>
    </row>
    <row r="1031" spans="1:29" x14ac:dyDescent="0.35">
      <c r="A1031" s="1" t="s">
        <v>1033</v>
      </c>
      <c r="B1031" s="1" t="s">
        <v>434</v>
      </c>
      <c r="C1031">
        <f>D1031+E1031+F1031+G1031+H1031+I1031</f>
        <v>23</v>
      </c>
      <c r="D1031" s="2">
        <v>0</v>
      </c>
      <c r="E1031" s="2">
        <v>6</v>
      </c>
      <c r="F1031" s="2">
        <v>13</v>
      </c>
      <c r="G1031" s="2">
        <v>4</v>
      </c>
      <c r="H1031" s="2">
        <v>0</v>
      </c>
      <c r="I1031" s="2">
        <v>0</v>
      </c>
      <c r="J1031" s="2">
        <v>38</v>
      </c>
      <c r="K1031">
        <f>J1031+L1031</f>
        <v>42</v>
      </c>
      <c r="L1031" s="2">
        <v>4</v>
      </c>
      <c r="M1031" s="2">
        <v>6</v>
      </c>
      <c r="N1031" s="2">
        <v>785</v>
      </c>
      <c r="O1031" s="3">
        <f>N1031/J1031</f>
        <v>20.657894736842106</v>
      </c>
      <c r="P1031" s="2">
        <v>5</v>
      </c>
      <c r="Q1031" s="2">
        <v>0</v>
      </c>
      <c r="R1031" s="2">
        <v>96</v>
      </c>
      <c r="S1031" s="2">
        <v>0</v>
      </c>
      <c r="T1031" s="2">
        <v>0</v>
      </c>
      <c r="U1031" s="2">
        <v>0</v>
      </c>
      <c r="V1031" s="2">
        <v>0</v>
      </c>
      <c r="W1031" s="3" t="e">
        <f>V1031/S1031</f>
        <v>#DIV/0!</v>
      </c>
      <c r="X1031" s="3" t="e">
        <f>V1031/U1031</f>
        <v>#DIV/0!</v>
      </c>
      <c r="Y1031" s="4" t="e">
        <f>S1031*6/U1031</f>
        <v>#DIV/0!</v>
      </c>
      <c r="Z1031" s="2">
        <v>0</v>
      </c>
      <c r="AA1031" s="2">
        <v>0</v>
      </c>
      <c r="AB1031" s="2">
        <v>0</v>
      </c>
      <c r="AC1031" s="2">
        <v>15</v>
      </c>
    </row>
    <row r="1032" spans="1:29" x14ac:dyDescent="0.35">
      <c r="A1032" s="1" t="s">
        <v>1034</v>
      </c>
      <c r="B1032" s="1" t="s">
        <v>585</v>
      </c>
      <c r="C1032">
        <f>D1032+E1032+F1032+G1032+H1032+I1032</f>
        <v>2</v>
      </c>
      <c r="D1032" s="2">
        <v>0</v>
      </c>
      <c r="E1032" s="2">
        <v>0</v>
      </c>
      <c r="F1032" s="2">
        <v>0</v>
      </c>
      <c r="G1032" s="2">
        <v>1</v>
      </c>
      <c r="H1032" s="2">
        <v>1</v>
      </c>
      <c r="I1032" s="2">
        <v>0</v>
      </c>
      <c r="J1032" s="2">
        <v>2</v>
      </c>
      <c r="K1032">
        <f>J1032+L1032</f>
        <v>2</v>
      </c>
      <c r="L1032" s="2">
        <v>0</v>
      </c>
      <c r="M1032" s="2">
        <v>0</v>
      </c>
      <c r="N1032" s="2">
        <v>15</v>
      </c>
      <c r="O1032" s="3">
        <f>N1032/J1032</f>
        <v>7.5</v>
      </c>
      <c r="P1032" s="2">
        <v>0</v>
      </c>
      <c r="Q1032" s="2">
        <v>0</v>
      </c>
      <c r="R1032" s="2">
        <v>8</v>
      </c>
      <c r="S1032" s="2">
        <v>0</v>
      </c>
      <c r="T1032" s="2">
        <v>0</v>
      </c>
      <c r="U1032" s="2">
        <v>0</v>
      </c>
      <c r="V1032" s="2">
        <v>0</v>
      </c>
      <c r="W1032" s="3" t="e">
        <f>V1032/S1032</f>
        <v>#DIV/0!</v>
      </c>
      <c r="X1032" s="3" t="e">
        <f>V1032/U1032</f>
        <v>#DIV/0!</v>
      </c>
      <c r="Y1032" s="4" t="e">
        <f>S1032*6/U1032</f>
        <v>#DIV/0!</v>
      </c>
      <c r="Z1032" s="2">
        <v>0</v>
      </c>
      <c r="AA1032" s="2">
        <v>0</v>
      </c>
      <c r="AB1032" s="2">
        <v>0</v>
      </c>
      <c r="AC1032" s="2">
        <v>1</v>
      </c>
    </row>
    <row r="1033" spans="1:29" x14ac:dyDescent="0.35">
      <c r="A1033" s="1" t="s">
        <v>1034</v>
      </c>
      <c r="B1033" s="1" t="s">
        <v>154</v>
      </c>
      <c r="C1033">
        <f>D1033+E1033+F1033+G1033+H1033+I1033</f>
        <v>3</v>
      </c>
      <c r="D1033" s="2">
        <v>0</v>
      </c>
      <c r="E1033" s="2">
        <v>0</v>
      </c>
      <c r="F1033" s="2">
        <v>0</v>
      </c>
      <c r="G1033" s="2">
        <v>1</v>
      </c>
      <c r="H1033" s="2">
        <v>0</v>
      </c>
      <c r="I1033" s="2">
        <v>2</v>
      </c>
      <c r="J1033" s="2">
        <v>1</v>
      </c>
      <c r="K1033">
        <f>J1033+L1033</f>
        <v>1</v>
      </c>
      <c r="L1033" s="2">
        <v>0</v>
      </c>
      <c r="M1033" s="2">
        <v>1</v>
      </c>
      <c r="N1033" s="2">
        <v>0</v>
      </c>
      <c r="O1033" s="3">
        <f>N1033/J1033</f>
        <v>0</v>
      </c>
      <c r="P1033" s="2">
        <v>0</v>
      </c>
      <c r="Q1033" s="2">
        <v>0</v>
      </c>
      <c r="R1033" s="2">
        <v>0</v>
      </c>
      <c r="S1033" s="2">
        <v>1</v>
      </c>
      <c r="T1033" s="2">
        <v>0</v>
      </c>
      <c r="U1033" s="2">
        <v>0</v>
      </c>
      <c r="V1033" s="2">
        <v>11</v>
      </c>
      <c r="W1033" s="3">
        <f>V1033/S1033</f>
        <v>11</v>
      </c>
      <c r="X1033" s="3" t="e">
        <f>V1033/U1033</f>
        <v>#DIV/0!</v>
      </c>
      <c r="Y1033" s="4" t="e">
        <f>S1033*6/U1033</f>
        <v>#DIV/0!</v>
      </c>
      <c r="Z1033" s="2">
        <v>0</v>
      </c>
      <c r="AA1033" s="2">
        <v>0</v>
      </c>
      <c r="AB1033" s="2">
        <v>0</v>
      </c>
      <c r="AC1033" s="2">
        <v>0</v>
      </c>
    </row>
    <row r="1034" spans="1:29" x14ac:dyDescent="0.35">
      <c r="A1034" s="35" t="s">
        <v>1391</v>
      </c>
      <c r="B1034" s="35" t="s">
        <v>1392</v>
      </c>
      <c r="C1034">
        <f>D1034+E1034+F1034+G1034+H1034+I1034</f>
        <v>1</v>
      </c>
      <c r="D1034" s="5">
        <v>0</v>
      </c>
      <c r="E1034" s="5">
        <v>0</v>
      </c>
      <c r="F1034" s="5">
        <v>0</v>
      </c>
      <c r="G1034" s="5">
        <v>1</v>
      </c>
      <c r="H1034" s="5">
        <v>0</v>
      </c>
      <c r="I1034" s="5">
        <v>0</v>
      </c>
      <c r="J1034" s="5">
        <v>1</v>
      </c>
      <c r="K1034">
        <f>J1034+L1034</f>
        <v>1</v>
      </c>
      <c r="L1034" s="5">
        <v>0</v>
      </c>
      <c r="M1034" s="5">
        <v>0</v>
      </c>
      <c r="N1034" s="5">
        <v>4</v>
      </c>
      <c r="O1034" s="3">
        <f>N1034/J1034</f>
        <v>4</v>
      </c>
      <c r="P1034" s="5">
        <v>0</v>
      </c>
      <c r="Q1034" s="5">
        <v>0</v>
      </c>
      <c r="R1034" s="5">
        <v>4</v>
      </c>
      <c r="S1034" s="35">
        <v>5</v>
      </c>
      <c r="T1034" s="35">
        <v>0</v>
      </c>
      <c r="U1034" s="35">
        <v>2</v>
      </c>
      <c r="V1034" s="35">
        <v>38</v>
      </c>
      <c r="W1034" s="3">
        <f>V1034/S1034</f>
        <v>7.6</v>
      </c>
      <c r="X1034" s="3">
        <f>V1034/U1034</f>
        <v>19</v>
      </c>
      <c r="Y1034" s="3">
        <f>S1034*6/U1034</f>
        <v>15</v>
      </c>
      <c r="Z1034" s="35" t="s">
        <v>1393</v>
      </c>
      <c r="AA1034" s="45">
        <v>0</v>
      </c>
      <c r="AB1034" s="45">
        <v>0</v>
      </c>
      <c r="AC1034" s="5">
        <v>0</v>
      </c>
    </row>
    <row r="1035" spans="1:29" x14ac:dyDescent="0.35">
      <c r="A1035" s="1" t="s">
        <v>1035</v>
      </c>
      <c r="B1035" s="1" t="s">
        <v>409</v>
      </c>
      <c r="C1035">
        <f>D1035+E1035+F1035+G1035+H1035+I1035</f>
        <v>7</v>
      </c>
      <c r="D1035" s="2">
        <v>3</v>
      </c>
      <c r="E1035" s="2">
        <v>3</v>
      </c>
      <c r="F1035" s="2">
        <v>1</v>
      </c>
      <c r="G1035" s="2">
        <v>0</v>
      </c>
      <c r="H1035" s="2">
        <v>0</v>
      </c>
      <c r="I1035" s="2">
        <v>0</v>
      </c>
      <c r="J1035" s="2">
        <v>6</v>
      </c>
      <c r="K1035">
        <f>J1035+L1035</f>
        <v>6</v>
      </c>
      <c r="L1035" s="2">
        <v>0</v>
      </c>
      <c r="M1035" s="2">
        <v>2</v>
      </c>
      <c r="N1035" s="2">
        <v>71</v>
      </c>
      <c r="O1035" s="3">
        <f>N1035/J1035</f>
        <v>11.833333333333334</v>
      </c>
      <c r="P1035" s="2">
        <v>0</v>
      </c>
      <c r="Q1035" s="2">
        <v>0</v>
      </c>
      <c r="R1035" s="2">
        <v>24</v>
      </c>
      <c r="S1035" s="2">
        <v>0</v>
      </c>
      <c r="T1035" s="2">
        <v>0</v>
      </c>
      <c r="U1035" s="2">
        <v>0</v>
      </c>
      <c r="V1035" s="2">
        <v>0</v>
      </c>
      <c r="W1035" s="3" t="e">
        <f>V1035/S1035</f>
        <v>#DIV/0!</v>
      </c>
      <c r="X1035" s="3" t="e">
        <f>V1035/U1035</f>
        <v>#DIV/0!</v>
      </c>
      <c r="Y1035" s="4" t="e">
        <f>S1035*6/U1035</f>
        <v>#DIV/0!</v>
      </c>
      <c r="Z1035" s="2">
        <v>0</v>
      </c>
      <c r="AA1035" s="2">
        <v>0</v>
      </c>
      <c r="AB1035" s="2">
        <v>0</v>
      </c>
      <c r="AC1035" s="2">
        <v>1</v>
      </c>
    </row>
    <row r="1036" spans="1:29" x14ac:dyDescent="0.35">
      <c r="A1036" s="1" t="s">
        <v>1036</v>
      </c>
      <c r="B1036" s="1" t="s">
        <v>144</v>
      </c>
      <c r="C1036">
        <f>D1036+E1036+F1036+G1036+H1036+I1036</f>
        <v>13</v>
      </c>
      <c r="D1036" s="2">
        <v>0</v>
      </c>
      <c r="E1036" s="2">
        <v>0</v>
      </c>
      <c r="F1036" s="2">
        <v>0</v>
      </c>
      <c r="G1036" s="2">
        <v>1</v>
      </c>
      <c r="H1036" s="2">
        <v>5</v>
      </c>
      <c r="I1036" s="2">
        <v>7</v>
      </c>
      <c r="J1036" s="2">
        <v>9</v>
      </c>
      <c r="K1036">
        <f>J1036+L1036</f>
        <v>14</v>
      </c>
      <c r="L1036" s="2">
        <v>5</v>
      </c>
      <c r="M1036" s="2">
        <v>3</v>
      </c>
      <c r="N1036" s="2">
        <v>185</v>
      </c>
      <c r="O1036" s="3">
        <f>N1036/J1036</f>
        <v>20.555555555555557</v>
      </c>
      <c r="P1036" s="2">
        <v>0</v>
      </c>
      <c r="Q1036" s="2">
        <v>0</v>
      </c>
      <c r="R1036" s="2">
        <v>38</v>
      </c>
      <c r="S1036" s="2">
        <v>6</v>
      </c>
      <c r="T1036" s="2">
        <v>1</v>
      </c>
      <c r="U1036" s="2">
        <v>2</v>
      </c>
      <c r="V1036" s="2">
        <v>24</v>
      </c>
      <c r="W1036" s="3">
        <f>V1036/S1036</f>
        <v>4</v>
      </c>
      <c r="X1036" s="3">
        <f>V1036/U1036</f>
        <v>12</v>
      </c>
      <c r="Y1036" s="4">
        <f>S1036*6/U1036</f>
        <v>18</v>
      </c>
      <c r="Z1036" s="2">
        <v>1</v>
      </c>
      <c r="AA1036" s="2">
        <v>0</v>
      </c>
      <c r="AB1036" s="2">
        <v>0</v>
      </c>
      <c r="AC1036" s="2">
        <v>1</v>
      </c>
    </row>
    <row r="1037" spans="1:29" x14ac:dyDescent="0.35">
      <c r="A1037" s="1" t="s">
        <v>1037</v>
      </c>
      <c r="B1037" s="1" t="s">
        <v>154</v>
      </c>
      <c r="C1037">
        <f>D1037+E1037+F1037+G1037+H1037+I1037</f>
        <v>29</v>
      </c>
      <c r="D1037" s="2">
        <v>0</v>
      </c>
      <c r="E1037" s="2">
        <v>2</v>
      </c>
      <c r="F1037" s="2">
        <v>1</v>
      </c>
      <c r="G1037" s="2">
        <v>11</v>
      </c>
      <c r="H1037" s="2">
        <v>15</v>
      </c>
      <c r="I1037" s="2">
        <v>0</v>
      </c>
      <c r="J1037" s="2">
        <v>21</v>
      </c>
      <c r="K1037">
        <f>J1037+L1037</f>
        <v>24</v>
      </c>
      <c r="L1037" s="2">
        <v>3</v>
      </c>
      <c r="M1037" s="2">
        <v>5</v>
      </c>
      <c r="N1037" s="2">
        <v>726</v>
      </c>
      <c r="O1037" s="3">
        <f>N1037/J1037</f>
        <v>34.571428571428569</v>
      </c>
      <c r="P1037" s="2">
        <v>3</v>
      </c>
      <c r="Q1037" s="2">
        <v>2</v>
      </c>
      <c r="R1037" s="2">
        <v>130</v>
      </c>
      <c r="S1037" s="2">
        <v>100</v>
      </c>
      <c r="T1037" s="2">
        <v>13</v>
      </c>
      <c r="U1037" s="2">
        <v>24</v>
      </c>
      <c r="V1037" s="2">
        <v>423</v>
      </c>
      <c r="W1037" s="3">
        <f>V1037/S1037</f>
        <v>4.2300000000000004</v>
      </c>
      <c r="X1037" s="3">
        <f>V1037/U1037</f>
        <v>17.625</v>
      </c>
      <c r="Y1037" s="4">
        <f>S1037*6/U1037</f>
        <v>25</v>
      </c>
      <c r="Z1037" s="2">
        <v>3</v>
      </c>
      <c r="AA1037" s="2">
        <v>0</v>
      </c>
      <c r="AB1037" s="2">
        <v>0</v>
      </c>
      <c r="AC1037" s="2">
        <v>10</v>
      </c>
    </row>
    <row r="1038" spans="1:29" x14ac:dyDescent="0.35">
      <c r="A1038" s="22" t="s">
        <v>1254</v>
      </c>
      <c r="B1038" s="15" t="s">
        <v>1260</v>
      </c>
      <c r="C1038" s="18">
        <f>D1038+E1038+F1038+G1038+H1038+I1038</f>
        <v>63</v>
      </c>
      <c r="D1038" s="16">
        <v>0</v>
      </c>
      <c r="E1038" s="16">
        <v>3</v>
      </c>
      <c r="F1038" s="16">
        <v>27</v>
      </c>
      <c r="G1038" s="16">
        <v>32</v>
      </c>
      <c r="H1038" s="16">
        <v>1</v>
      </c>
      <c r="I1038" s="16">
        <v>0</v>
      </c>
      <c r="J1038" s="16">
        <v>40</v>
      </c>
      <c r="K1038" s="18">
        <f>J1038+L1038</f>
        <v>55</v>
      </c>
      <c r="L1038" s="16">
        <v>15</v>
      </c>
      <c r="M1038" s="16">
        <v>12</v>
      </c>
      <c r="N1038" s="16">
        <f>1345+657</f>
        <v>2002</v>
      </c>
      <c r="O1038" s="19">
        <f>N1038/J1038</f>
        <v>50.05</v>
      </c>
      <c r="P1038" s="16">
        <v>13</v>
      </c>
      <c r="Q1038" s="16">
        <v>2</v>
      </c>
      <c r="R1038" s="22" t="s">
        <v>1407</v>
      </c>
      <c r="S1038" s="22">
        <f>345.2+57</f>
        <v>402.2</v>
      </c>
      <c r="T1038" s="22">
        <f>56+12</f>
        <v>68</v>
      </c>
      <c r="U1038" s="22">
        <v>80</v>
      </c>
      <c r="V1038" s="22">
        <f>1213+227</f>
        <v>1440</v>
      </c>
      <c r="W1038" s="19">
        <f>V1038/S1038</f>
        <v>3.5803083043262061</v>
      </c>
      <c r="X1038" s="19">
        <f>V1038/U1038</f>
        <v>18</v>
      </c>
      <c r="Y1038" s="20">
        <f>S1038*6/U1038</f>
        <v>30.164999999999999</v>
      </c>
      <c r="Z1038" s="22" t="s">
        <v>1382</v>
      </c>
      <c r="AA1038" s="16">
        <v>3</v>
      </c>
      <c r="AB1038" s="16">
        <v>0</v>
      </c>
      <c r="AC1038" s="16">
        <v>27</v>
      </c>
    </row>
    <row r="1039" spans="1:29" x14ac:dyDescent="0.35">
      <c r="A1039" s="1" t="s">
        <v>1038</v>
      </c>
      <c r="B1039" s="1" t="s">
        <v>327</v>
      </c>
      <c r="C1039">
        <f>D1039+E1039+F1039+G1039+H1039+I1039</f>
        <v>10</v>
      </c>
      <c r="D1039" s="2">
        <v>0</v>
      </c>
      <c r="E1039" s="2">
        <v>0</v>
      </c>
      <c r="F1039" s="2">
        <v>10</v>
      </c>
      <c r="G1039" s="2">
        <v>0</v>
      </c>
      <c r="H1039" s="2">
        <v>0</v>
      </c>
      <c r="I1039" s="2">
        <v>0</v>
      </c>
      <c r="J1039" s="2">
        <v>5</v>
      </c>
      <c r="K1039">
        <f>J1039+L1039</f>
        <v>6</v>
      </c>
      <c r="L1039" s="2">
        <v>1</v>
      </c>
      <c r="M1039" s="2">
        <v>4</v>
      </c>
      <c r="N1039" s="2">
        <v>118</v>
      </c>
      <c r="O1039" s="3">
        <f>N1039/J1039</f>
        <v>23.6</v>
      </c>
      <c r="P1039" s="2">
        <v>0</v>
      </c>
      <c r="Q1039" s="2">
        <v>0</v>
      </c>
      <c r="R1039" s="2">
        <v>43</v>
      </c>
      <c r="S1039" s="2">
        <v>175</v>
      </c>
      <c r="T1039" s="2">
        <v>27</v>
      </c>
      <c r="U1039" s="2">
        <v>30</v>
      </c>
      <c r="V1039" s="2">
        <v>591</v>
      </c>
      <c r="W1039" s="3">
        <f>V1039/S1039</f>
        <v>3.3771428571428572</v>
      </c>
      <c r="X1039" s="3">
        <f>V1039/U1039</f>
        <v>19.7</v>
      </c>
      <c r="Y1039" s="4">
        <f>S1039*6/U1039</f>
        <v>35</v>
      </c>
      <c r="Z1039" s="2">
        <v>4</v>
      </c>
      <c r="AA1039" s="2">
        <v>0</v>
      </c>
      <c r="AB1039" s="2">
        <v>0</v>
      </c>
      <c r="AC1039" s="2">
        <v>3</v>
      </c>
    </row>
    <row r="1040" spans="1:29" x14ac:dyDescent="0.35">
      <c r="A1040" s="35" t="s">
        <v>1243</v>
      </c>
      <c r="B1040" s="35" t="s">
        <v>1244</v>
      </c>
      <c r="C1040">
        <f>D1040+E1040+F1040+G1040+H1040+I1040</f>
        <v>2</v>
      </c>
      <c r="D1040" s="5">
        <v>0</v>
      </c>
      <c r="E1040" s="5">
        <v>0</v>
      </c>
      <c r="F1040" s="5">
        <v>2</v>
      </c>
      <c r="G1040" s="5">
        <v>0</v>
      </c>
      <c r="H1040" s="5">
        <v>0</v>
      </c>
      <c r="I1040" s="5">
        <v>0</v>
      </c>
      <c r="J1040" s="5">
        <v>0</v>
      </c>
      <c r="K1040">
        <f>J1040+L1040</f>
        <v>1</v>
      </c>
      <c r="L1040" s="5">
        <v>1</v>
      </c>
      <c r="M1040" s="5">
        <v>1</v>
      </c>
      <c r="N1040" s="5">
        <v>0</v>
      </c>
      <c r="O1040" s="3">
        <v>0</v>
      </c>
      <c r="P1040" s="5">
        <v>0</v>
      </c>
      <c r="Q1040" s="5">
        <v>0</v>
      </c>
      <c r="R1040" s="35" t="s">
        <v>1138</v>
      </c>
      <c r="S1040" s="5">
        <v>0</v>
      </c>
      <c r="T1040" s="5">
        <v>0</v>
      </c>
      <c r="U1040" s="5">
        <v>0</v>
      </c>
      <c r="V1040" s="5">
        <v>0</v>
      </c>
      <c r="W1040" s="3" t="e">
        <f>V1040/S1040</f>
        <v>#DIV/0!</v>
      </c>
      <c r="X1040" s="3" t="e">
        <f>V1040/U1040</f>
        <v>#DIV/0!</v>
      </c>
      <c r="Y1040" s="4" t="e">
        <f>S1040*6/U1040</f>
        <v>#DIV/0!</v>
      </c>
      <c r="Z1040" s="5">
        <v>0</v>
      </c>
      <c r="AA1040" s="5">
        <v>0</v>
      </c>
      <c r="AB1040" s="5">
        <v>0</v>
      </c>
      <c r="AC1040" s="5">
        <v>0</v>
      </c>
    </row>
    <row r="1041" spans="1:29" x14ac:dyDescent="0.35">
      <c r="A1041" s="15" t="s">
        <v>1039</v>
      </c>
      <c r="B1041" s="15" t="s">
        <v>64</v>
      </c>
      <c r="C1041" s="18">
        <f>D1041+E1041+F1041+G1041+H1041+I1041</f>
        <v>78</v>
      </c>
      <c r="D1041" s="16">
        <v>0</v>
      </c>
      <c r="E1041" s="16">
        <v>0</v>
      </c>
      <c r="F1041" s="16">
        <v>35</v>
      </c>
      <c r="G1041" s="16">
        <v>28</v>
      </c>
      <c r="H1041" s="16">
        <v>8</v>
      </c>
      <c r="I1041" s="16">
        <v>7</v>
      </c>
      <c r="J1041" s="16">
        <v>65</v>
      </c>
      <c r="K1041" s="18">
        <f>J1041+L1041</f>
        <v>73</v>
      </c>
      <c r="L1041" s="16">
        <v>8</v>
      </c>
      <c r="M1041" s="16">
        <v>8</v>
      </c>
      <c r="N1041" s="16">
        <v>950</v>
      </c>
      <c r="O1041" s="19">
        <f>N1041/J1041</f>
        <v>14.615384615384615</v>
      </c>
      <c r="P1041" s="16">
        <v>1</v>
      </c>
      <c r="Q1041" s="16">
        <v>0</v>
      </c>
      <c r="R1041" s="16">
        <v>52</v>
      </c>
      <c r="S1041" s="16">
        <v>58</v>
      </c>
      <c r="T1041" s="16">
        <v>6</v>
      </c>
      <c r="U1041" s="16">
        <v>12</v>
      </c>
      <c r="V1041" s="16">
        <f>227+56</f>
        <v>283</v>
      </c>
      <c r="W1041" s="19">
        <f>V1041/S1041</f>
        <v>4.8793103448275863</v>
      </c>
      <c r="X1041" s="19">
        <f>V1041/U1041</f>
        <v>23.583333333333332</v>
      </c>
      <c r="Y1041" s="20">
        <f>S1041*6/U1041</f>
        <v>29</v>
      </c>
      <c r="Z1041" s="23" t="s">
        <v>1319</v>
      </c>
      <c r="AA1041" s="16">
        <v>0</v>
      </c>
      <c r="AB1041" s="16">
        <v>0</v>
      </c>
      <c r="AC1041" s="16">
        <v>17</v>
      </c>
    </row>
    <row r="1042" spans="1:29" x14ac:dyDescent="0.35">
      <c r="A1042" s="1" t="s">
        <v>1040</v>
      </c>
      <c r="B1042" s="1" t="s">
        <v>362</v>
      </c>
      <c r="C1042">
        <f>D1042+E1042+F1042+G1042+H1042+I1042</f>
        <v>10</v>
      </c>
      <c r="D1042" s="2">
        <v>3</v>
      </c>
      <c r="E1042" s="2">
        <v>7</v>
      </c>
      <c r="F1042" s="2">
        <v>0</v>
      </c>
      <c r="G1042" s="2">
        <v>0</v>
      </c>
      <c r="H1042" s="2">
        <v>0</v>
      </c>
      <c r="I1042" s="2">
        <v>0</v>
      </c>
      <c r="J1042" s="2">
        <v>8</v>
      </c>
      <c r="K1042">
        <f>J1042+L1042</f>
        <v>9</v>
      </c>
      <c r="L1042" s="2">
        <v>1</v>
      </c>
      <c r="M1042" s="2">
        <v>0</v>
      </c>
      <c r="N1042" s="2">
        <v>216</v>
      </c>
      <c r="O1042" s="3">
        <f>N1042/J1042</f>
        <v>27</v>
      </c>
      <c r="P1042" s="2">
        <v>2</v>
      </c>
      <c r="Q1042" s="2">
        <v>0</v>
      </c>
      <c r="R1042" s="2">
        <v>75</v>
      </c>
      <c r="S1042" s="2">
        <v>49</v>
      </c>
      <c r="T1042" s="2">
        <v>9</v>
      </c>
      <c r="U1042" s="2">
        <v>6</v>
      </c>
      <c r="V1042" s="2">
        <v>143</v>
      </c>
      <c r="W1042" s="3">
        <f>V1042/S1042</f>
        <v>2.9183673469387754</v>
      </c>
      <c r="X1042" s="3">
        <f>V1042/U1042</f>
        <v>23.833333333333332</v>
      </c>
      <c r="Y1042" s="4">
        <f>S1042*6/U1042</f>
        <v>49</v>
      </c>
      <c r="Z1042" s="2">
        <v>3</v>
      </c>
      <c r="AA1042" s="2">
        <v>0</v>
      </c>
      <c r="AB1042" s="2">
        <v>0</v>
      </c>
      <c r="AC1042" s="2">
        <v>1</v>
      </c>
    </row>
    <row r="1043" spans="1:29" x14ac:dyDescent="0.35">
      <c r="A1043" s="1" t="s">
        <v>1041</v>
      </c>
      <c r="B1043" s="1" t="s">
        <v>803</v>
      </c>
      <c r="C1043">
        <f>D1043+E1043+F1043+G1043+H1043+I1043</f>
        <v>6</v>
      </c>
      <c r="D1043" s="2">
        <v>0</v>
      </c>
      <c r="E1043" s="2">
        <v>0</v>
      </c>
      <c r="F1043" s="2">
        <v>6</v>
      </c>
      <c r="G1043" s="2">
        <v>0</v>
      </c>
      <c r="H1043" s="2">
        <v>0</v>
      </c>
      <c r="I1043" s="2">
        <v>0</v>
      </c>
      <c r="J1043" s="2">
        <v>4</v>
      </c>
      <c r="K1043">
        <f>J1043+L1043</f>
        <v>5</v>
      </c>
      <c r="L1043" s="2">
        <v>1</v>
      </c>
      <c r="M1043" s="2">
        <v>2</v>
      </c>
      <c r="N1043" s="2">
        <v>82</v>
      </c>
      <c r="O1043" s="3">
        <f>N1043/J1043</f>
        <v>20.5</v>
      </c>
      <c r="P1043" s="2">
        <v>0</v>
      </c>
      <c r="Q1043" s="2">
        <v>0</v>
      </c>
      <c r="R1043" s="2">
        <v>33</v>
      </c>
      <c r="S1043" s="2">
        <v>10</v>
      </c>
      <c r="T1043" s="2">
        <v>4</v>
      </c>
      <c r="U1043" s="2">
        <v>5</v>
      </c>
      <c r="V1043" s="2">
        <v>19</v>
      </c>
      <c r="W1043" s="3">
        <f>V1043/S1043</f>
        <v>1.9</v>
      </c>
      <c r="X1043" s="3">
        <f>V1043/U1043</f>
        <v>3.8</v>
      </c>
      <c r="Y1043" s="4">
        <f>S1043*6/U1043</f>
        <v>12</v>
      </c>
      <c r="Z1043" s="2">
        <v>3</v>
      </c>
      <c r="AA1043" s="2">
        <v>0</v>
      </c>
      <c r="AB1043" s="2">
        <v>0</v>
      </c>
      <c r="AC1043" s="2">
        <v>4</v>
      </c>
    </row>
    <row r="1044" spans="1:29" x14ac:dyDescent="0.35">
      <c r="A1044" s="1" t="s">
        <v>1042</v>
      </c>
      <c r="B1044" s="1" t="s">
        <v>268</v>
      </c>
      <c r="C1044">
        <f>D1044+E1044+F1044+G1044+H1044+I1044</f>
        <v>11</v>
      </c>
      <c r="D1044" s="2">
        <v>0</v>
      </c>
      <c r="E1044" s="2">
        <v>0</v>
      </c>
      <c r="F1044" s="2">
        <v>0</v>
      </c>
      <c r="G1044" s="2">
        <v>3</v>
      </c>
      <c r="H1044" s="2">
        <v>8</v>
      </c>
      <c r="I1044" s="2">
        <v>0</v>
      </c>
      <c r="J1044" s="2">
        <v>6</v>
      </c>
      <c r="K1044">
        <f>J1044+L1044</f>
        <v>8</v>
      </c>
      <c r="L1044" s="2">
        <v>2</v>
      </c>
      <c r="M1044" s="2">
        <v>3</v>
      </c>
      <c r="N1044" s="2">
        <v>110</v>
      </c>
      <c r="O1044" s="3">
        <f>N1044/J1044</f>
        <v>18.333333333333332</v>
      </c>
      <c r="P1044" s="2">
        <v>0</v>
      </c>
      <c r="Q1044" s="2">
        <v>0</v>
      </c>
      <c r="R1044" s="2">
        <v>40</v>
      </c>
      <c r="S1044" s="2">
        <v>198</v>
      </c>
      <c r="T1044" s="2">
        <v>42</v>
      </c>
      <c r="U1044" s="2">
        <v>19</v>
      </c>
      <c r="V1044" s="2">
        <v>512</v>
      </c>
      <c r="W1044" s="3">
        <f>V1044/S1044</f>
        <v>2.5858585858585861</v>
      </c>
      <c r="X1044" s="3">
        <f>V1044/U1044</f>
        <v>26.94736842105263</v>
      </c>
      <c r="Y1044" s="4">
        <f>S1044*6/U1044</f>
        <v>62.526315789473685</v>
      </c>
      <c r="Z1044" s="2">
        <v>5</v>
      </c>
      <c r="AA1044" s="2">
        <v>1</v>
      </c>
      <c r="AB1044" s="2">
        <v>0</v>
      </c>
      <c r="AC1044" s="2">
        <v>4</v>
      </c>
    </row>
    <row r="1045" spans="1:29" x14ac:dyDescent="0.35">
      <c r="A1045" s="1" t="s">
        <v>1043</v>
      </c>
      <c r="B1045" s="1" t="s">
        <v>535</v>
      </c>
      <c r="C1045">
        <f>D1045+E1045+F1045+G1045+H1045+I1045</f>
        <v>3</v>
      </c>
      <c r="D1045" s="2">
        <v>0</v>
      </c>
      <c r="E1045" s="2">
        <v>0</v>
      </c>
      <c r="F1045" s="2">
        <v>0</v>
      </c>
      <c r="G1045" s="2">
        <v>3</v>
      </c>
      <c r="H1045" s="2">
        <v>0</v>
      </c>
      <c r="I1045" s="2">
        <v>0</v>
      </c>
      <c r="J1045" s="2">
        <v>1</v>
      </c>
      <c r="K1045">
        <f>J1045+L1045</f>
        <v>3</v>
      </c>
      <c r="L1045" s="2">
        <v>2</v>
      </c>
      <c r="M1045" s="2">
        <v>1</v>
      </c>
      <c r="N1045" s="2">
        <v>18</v>
      </c>
      <c r="O1045" s="3">
        <f>N1045/J1045</f>
        <v>18</v>
      </c>
      <c r="P1045" s="2">
        <v>0</v>
      </c>
      <c r="Q1045" s="2">
        <v>0</v>
      </c>
      <c r="R1045" s="2">
        <v>15</v>
      </c>
      <c r="S1045" s="2">
        <v>0</v>
      </c>
      <c r="T1045" s="2">
        <v>0</v>
      </c>
      <c r="U1045" s="2">
        <v>0</v>
      </c>
      <c r="V1045" s="2">
        <v>0</v>
      </c>
      <c r="W1045" s="3" t="e">
        <f>V1045/S1045</f>
        <v>#DIV/0!</v>
      </c>
      <c r="X1045" s="3" t="e">
        <f>V1045/U1045</f>
        <v>#DIV/0!</v>
      </c>
      <c r="Y1045" s="4" t="e">
        <f>S1045*6/U1045</f>
        <v>#DIV/0!</v>
      </c>
      <c r="Z1045" s="2">
        <v>0</v>
      </c>
      <c r="AA1045" s="2">
        <v>0</v>
      </c>
      <c r="AB1045" s="2">
        <v>0</v>
      </c>
      <c r="AC1045" s="2">
        <v>2</v>
      </c>
    </row>
    <row r="1046" spans="1:29" x14ac:dyDescent="0.35">
      <c r="A1046" s="1" t="s">
        <v>1043</v>
      </c>
      <c r="B1046" s="1" t="s">
        <v>325</v>
      </c>
      <c r="C1046">
        <f>D1046+E1046+F1046+G1046+H1046+I1046</f>
        <v>3</v>
      </c>
      <c r="D1046" s="2">
        <v>0</v>
      </c>
      <c r="E1046" s="2">
        <v>0</v>
      </c>
      <c r="F1046" s="2">
        <v>2</v>
      </c>
      <c r="G1046" s="2">
        <v>0</v>
      </c>
      <c r="H1046" s="2">
        <v>0</v>
      </c>
      <c r="I1046" s="2">
        <v>1</v>
      </c>
      <c r="J1046" s="2">
        <v>2</v>
      </c>
      <c r="K1046">
        <f>J1046+L1046</f>
        <v>3</v>
      </c>
      <c r="L1046" s="2">
        <v>1</v>
      </c>
      <c r="M1046" s="2">
        <v>0</v>
      </c>
      <c r="N1046" s="2">
        <v>61</v>
      </c>
      <c r="O1046" s="3">
        <f>N1046/J1046</f>
        <v>30.5</v>
      </c>
      <c r="P1046" s="2">
        <v>1</v>
      </c>
      <c r="Q1046" s="2">
        <v>0</v>
      </c>
      <c r="R1046" s="2">
        <v>56</v>
      </c>
      <c r="S1046" s="2">
        <v>24</v>
      </c>
      <c r="T1046" s="2">
        <v>2</v>
      </c>
      <c r="U1046" s="2">
        <v>4</v>
      </c>
      <c r="V1046" s="2">
        <v>125</v>
      </c>
      <c r="W1046" s="3">
        <f>V1046/S1046</f>
        <v>5.208333333333333</v>
      </c>
      <c r="X1046" s="3">
        <f>V1046/U1046</f>
        <v>31.25</v>
      </c>
      <c r="Y1046" s="4">
        <f>S1046*6/U1046</f>
        <v>36</v>
      </c>
      <c r="Z1046" s="2">
        <v>2</v>
      </c>
      <c r="AA1046" s="2">
        <v>0</v>
      </c>
      <c r="AB1046" s="2">
        <v>0</v>
      </c>
      <c r="AC1046" s="2">
        <v>1</v>
      </c>
    </row>
    <row r="1047" spans="1:29" x14ac:dyDescent="0.35">
      <c r="A1047" s="1" t="s">
        <v>1043</v>
      </c>
      <c r="B1047" s="1" t="s">
        <v>398</v>
      </c>
      <c r="C1047">
        <f>D1047+E1047+F1047+G1047+H1047+I1047</f>
        <v>2</v>
      </c>
      <c r="D1047" s="2">
        <v>0</v>
      </c>
      <c r="E1047" s="2">
        <v>0</v>
      </c>
      <c r="F1047" s="2">
        <v>0</v>
      </c>
      <c r="G1047" s="2">
        <v>1</v>
      </c>
      <c r="H1047" s="2">
        <v>1</v>
      </c>
      <c r="I1047" s="2">
        <v>0</v>
      </c>
      <c r="J1047" s="2">
        <v>2</v>
      </c>
      <c r="K1047">
        <f>J1047+L1047</f>
        <v>2</v>
      </c>
      <c r="L1047" s="2">
        <v>0</v>
      </c>
      <c r="M1047" s="2">
        <v>1</v>
      </c>
      <c r="N1047" s="2">
        <v>48</v>
      </c>
      <c r="O1047" s="3">
        <f>N1047/J1047</f>
        <v>24</v>
      </c>
      <c r="P1047" s="2">
        <v>0</v>
      </c>
      <c r="Q1047" s="2">
        <v>0</v>
      </c>
      <c r="R1047" s="2">
        <v>48</v>
      </c>
      <c r="S1047" s="2">
        <v>0</v>
      </c>
      <c r="T1047" s="2">
        <v>0</v>
      </c>
      <c r="U1047" s="2">
        <v>0</v>
      </c>
      <c r="V1047" s="2">
        <v>0</v>
      </c>
      <c r="W1047" s="3" t="e">
        <f>V1047/S1047</f>
        <v>#DIV/0!</v>
      </c>
      <c r="X1047" s="3" t="e">
        <f>V1047/U1047</f>
        <v>#DIV/0!</v>
      </c>
      <c r="Y1047" s="4" t="e">
        <f>S1047*6/U1047</f>
        <v>#DIV/0!</v>
      </c>
      <c r="Z1047" s="2">
        <v>0</v>
      </c>
      <c r="AA1047" s="2">
        <v>0</v>
      </c>
      <c r="AB1047" s="2">
        <v>0</v>
      </c>
      <c r="AC1047" s="2">
        <v>1</v>
      </c>
    </row>
    <row r="1048" spans="1:29" x14ac:dyDescent="0.35">
      <c r="A1048" s="1" t="s">
        <v>1043</v>
      </c>
      <c r="B1048" s="1" t="s">
        <v>327</v>
      </c>
      <c r="C1048">
        <f>D1048+E1048+F1048+G1048+H1048+I1048</f>
        <v>4</v>
      </c>
      <c r="D1048" s="2">
        <v>0</v>
      </c>
      <c r="E1048" s="2">
        <v>0</v>
      </c>
      <c r="F1048" s="2">
        <v>0</v>
      </c>
      <c r="G1048" s="2">
        <v>4</v>
      </c>
      <c r="H1048" s="2">
        <v>0</v>
      </c>
      <c r="I1048" s="2">
        <v>0</v>
      </c>
      <c r="J1048" s="2">
        <v>2</v>
      </c>
      <c r="K1048">
        <f>J1048+L1048</f>
        <v>2</v>
      </c>
      <c r="L1048" s="2">
        <v>0</v>
      </c>
      <c r="M1048" s="2">
        <v>2</v>
      </c>
      <c r="N1048" s="2">
        <v>20</v>
      </c>
      <c r="O1048" s="3">
        <f>N1048/J1048</f>
        <v>10</v>
      </c>
      <c r="P1048" s="2">
        <v>0</v>
      </c>
      <c r="Q1048" s="2">
        <v>0</v>
      </c>
      <c r="R1048" s="2">
        <v>11</v>
      </c>
      <c r="S1048" s="2">
        <v>0</v>
      </c>
      <c r="T1048" s="2">
        <v>0</v>
      </c>
      <c r="U1048" s="2">
        <v>0</v>
      </c>
      <c r="V1048" s="2">
        <v>0</v>
      </c>
      <c r="W1048" s="3" t="e">
        <f>V1048/S1048</f>
        <v>#DIV/0!</v>
      </c>
      <c r="X1048" s="3" t="e">
        <f>V1048/U1048</f>
        <v>#DIV/0!</v>
      </c>
      <c r="Y1048" s="4" t="e">
        <f>S1048*6/U1048</f>
        <v>#DIV/0!</v>
      </c>
      <c r="Z1048" s="2">
        <v>0</v>
      </c>
      <c r="AA1048" s="2">
        <v>0</v>
      </c>
      <c r="AB1048" s="2">
        <v>0</v>
      </c>
      <c r="AC1048" s="2">
        <v>1</v>
      </c>
    </row>
    <row r="1049" spans="1:29" x14ac:dyDescent="0.35">
      <c r="A1049" s="7" t="s">
        <v>1043</v>
      </c>
      <c r="B1049" s="7" t="s">
        <v>564</v>
      </c>
      <c r="C1049">
        <f>D1049+E1049+F1049+G1049+H1049+I1049</f>
        <v>2</v>
      </c>
      <c r="D1049" s="5">
        <v>0</v>
      </c>
      <c r="E1049" s="5">
        <v>0</v>
      </c>
      <c r="F1049" s="5">
        <v>1</v>
      </c>
      <c r="G1049" s="5">
        <v>1</v>
      </c>
      <c r="H1049" s="5">
        <v>0</v>
      </c>
      <c r="I1049" s="5">
        <v>0</v>
      </c>
      <c r="J1049" s="5">
        <v>2</v>
      </c>
      <c r="K1049">
        <f>J1049+L1049</f>
        <v>3</v>
      </c>
      <c r="L1049" s="5">
        <v>1</v>
      </c>
      <c r="M1049" s="5">
        <v>1</v>
      </c>
      <c r="N1049" s="5">
        <v>11</v>
      </c>
      <c r="O1049" s="3">
        <f>N1049/J1049</f>
        <v>5.5</v>
      </c>
      <c r="P1049" s="5">
        <v>0</v>
      </c>
      <c r="Q1049" s="5">
        <v>0</v>
      </c>
      <c r="R1049" s="5">
        <v>11</v>
      </c>
      <c r="S1049" s="5">
        <v>45</v>
      </c>
      <c r="T1049" s="5">
        <v>6</v>
      </c>
      <c r="U1049" s="5">
        <v>3</v>
      </c>
      <c r="V1049" s="5">
        <v>159</v>
      </c>
      <c r="W1049" s="3">
        <f>V1049/S1049</f>
        <v>3.5333333333333332</v>
      </c>
      <c r="X1049" s="3">
        <f>V1049/U1049</f>
        <v>53</v>
      </c>
      <c r="Y1049" s="4">
        <f>S1049*6/U1049</f>
        <v>90</v>
      </c>
      <c r="Z1049" s="5">
        <v>2</v>
      </c>
      <c r="AA1049" s="5">
        <v>0</v>
      </c>
      <c r="AB1049" s="5">
        <v>0</v>
      </c>
      <c r="AC1049" s="5">
        <v>0</v>
      </c>
    </row>
    <row r="1050" spans="1:29" x14ac:dyDescent="0.35">
      <c r="A1050" s="1" t="s">
        <v>1044</v>
      </c>
      <c r="B1050" s="1" t="s">
        <v>201</v>
      </c>
      <c r="C1050">
        <f>D1050+E1050+F1050+G1050+H1050+I1050</f>
        <v>17</v>
      </c>
      <c r="D1050" s="2">
        <v>0</v>
      </c>
      <c r="E1050" s="2">
        <v>2</v>
      </c>
      <c r="F1050" s="2">
        <v>5</v>
      </c>
      <c r="G1050" s="2">
        <v>9</v>
      </c>
      <c r="H1050" s="2">
        <v>1</v>
      </c>
      <c r="I1050" s="2">
        <v>0</v>
      </c>
      <c r="J1050" s="2">
        <v>15</v>
      </c>
      <c r="K1050">
        <f>J1050+L1050</f>
        <v>16</v>
      </c>
      <c r="L1050" s="2">
        <v>1</v>
      </c>
      <c r="M1050" s="2">
        <v>5</v>
      </c>
      <c r="N1050" s="2">
        <v>180</v>
      </c>
      <c r="O1050" s="3">
        <f>N1050/J1050</f>
        <v>12</v>
      </c>
      <c r="P1050" s="2">
        <v>0</v>
      </c>
      <c r="Q1050" s="2">
        <v>0</v>
      </c>
      <c r="R1050" s="2">
        <v>46</v>
      </c>
      <c r="S1050" s="2">
        <v>104</v>
      </c>
      <c r="T1050" s="2">
        <v>17</v>
      </c>
      <c r="U1050" s="2">
        <v>21</v>
      </c>
      <c r="V1050" s="2">
        <v>358</v>
      </c>
      <c r="W1050" s="3">
        <f>V1050/S1050</f>
        <v>3.4423076923076925</v>
      </c>
      <c r="X1050" s="3">
        <f>V1050/U1050</f>
        <v>17.047619047619047</v>
      </c>
      <c r="Y1050" s="4">
        <f>S1050*6/U1050</f>
        <v>29.714285714285715</v>
      </c>
      <c r="Z1050" s="2">
        <v>3</v>
      </c>
      <c r="AA1050" s="2">
        <v>0</v>
      </c>
      <c r="AB1050" s="2">
        <v>0</v>
      </c>
      <c r="AC1050" s="2">
        <v>3</v>
      </c>
    </row>
    <row r="1051" spans="1:29" x14ac:dyDescent="0.35">
      <c r="A1051" s="1" t="s">
        <v>1045</v>
      </c>
      <c r="B1051" s="1" t="s">
        <v>1046</v>
      </c>
      <c r="C1051">
        <f>D1051+E1051+F1051+G1051+H1051+I1051</f>
        <v>19</v>
      </c>
      <c r="D1051" s="2">
        <v>0</v>
      </c>
      <c r="E1051" s="2">
        <v>0</v>
      </c>
      <c r="F1051" s="2">
        <v>0</v>
      </c>
      <c r="G1051" s="2">
        <v>18</v>
      </c>
      <c r="H1051" s="2">
        <v>1</v>
      </c>
      <c r="I1051" s="2">
        <v>0</v>
      </c>
      <c r="J1051" s="2">
        <v>11</v>
      </c>
      <c r="K1051">
        <f>J1051+L1051</f>
        <v>15</v>
      </c>
      <c r="L1051" s="2">
        <v>4</v>
      </c>
      <c r="M1051" s="2">
        <v>4</v>
      </c>
      <c r="N1051" s="2">
        <v>262</v>
      </c>
      <c r="O1051" s="3">
        <f>N1051/J1051</f>
        <v>23.818181818181817</v>
      </c>
      <c r="P1051" s="2">
        <v>1</v>
      </c>
      <c r="Q1051" s="2">
        <v>0</v>
      </c>
      <c r="R1051" s="2">
        <v>72</v>
      </c>
      <c r="S1051" s="2">
        <v>3</v>
      </c>
      <c r="T1051" s="2">
        <v>0</v>
      </c>
      <c r="U1051" s="2">
        <v>0</v>
      </c>
      <c r="V1051" s="2">
        <v>12</v>
      </c>
      <c r="W1051" s="3">
        <f>V1051/S1051</f>
        <v>4</v>
      </c>
      <c r="X1051" s="3" t="e">
        <f>V1051/U1051</f>
        <v>#DIV/0!</v>
      </c>
      <c r="Y1051" s="4" t="e">
        <f>S1051*6/U1051</f>
        <v>#DIV/0!</v>
      </c>
      <c r="Z1051" s="2">
        <v>0</v>
      </c>
      <c r="AA1051" s="2">
        <v>0</v>
      </c>
      <c r="AB1051" s="2">
        <v>0</v>
      </c>
      <c r="AC1051" s="2">
        <v>18</v>
      </c>
    </row>
    <row r="1052" spans="1:29" x14ac:dyDescent="0.35">
      <c r="A1052" s="1" t="s">
        <v>1047</v>
      </c>
      <c r="B1052" s="1" t="s">
        <v>1048</v>
      </c>
      <c r="C1052">
        <f>D1052+E1052+F1052+G1052+H1052+I1052</f>
        <v>43</v>
      </c>
      <c r="D1052" s="2">
        <v>0</v>
      </c>
      <c r="E1052" s="2">
        <v>0</v>
      </c>
      <c r="F1052" s="2">
        <v>13</v>
      </c>
      <c r="G1052" s="2">
        <v>12</v>
      </c>
      <c r="H1052" s="2">
        <v>18</v>
      </c>
      <c r="I1052" s="2">
        <v>0</v>
      </c>
      <c r="J1052" s="2">
        <v>36</v>
      </c>
      <c r="K1052">
        <f>J1052+L1052</f>
        <v>42</v>
      </c>
      <c r="L1052" s="2">
        <v>6</v>
      </c>
      <c r="M1052" s="2">
        <v>2</v>
      </c>
      <c r="N1052" s="2">
        <f>777+481</f>
        <v>1258</v>
      </c>
      <c r="O1052" s="3">
        <f>N1052/J1052</f>
        <v>34.944444444444443</v>
      </c>
      <c r="P1052" s="2">
        <v>7</v>
      </c>
      <c r="Q1052" s="2">
        <v>1</v>
      </c>
      <c r="R1052" s="2" t="s">
        <v>1317</v>
      </c>
      <c r="S1052" s="2">
        <v>21</v>
      </c>
      <c r="T1052" s="2">
        <v>2</v>
      </c>
      <c r="U1052" s="2">
        <v>1</v>
      </c>
      <c r="V1052" s="2">
        <f>13+51</f>
        <v>64</v>
      </c>
      <c r="W1052" s="3">
        <f>V1052/S1052</f>
        <v>3.0476190476190474</v>
      </c>
      <c r="X1052" s="3">
        <f>V1052/U1052</f>
        <v>64</v>
      </c>
      <c r="Y1052" s="4">
        <f>S1052*6/U1052</f>
        <v>126</v>
      </c>
      <c r="Z1052" s="2">
        <v>1</v>
      </c>
      <c r="AA1052" s="2">
        <v>0</v>
      </c>
      <c r="AB1052" s="2">
        <v>0</v>
      </c>
      <c r="AC1052" s="2">
        <v>12</v>
      </c>
    </row>
    <row r="1053" spans="1:29" x14ac:dyDescent="0.35">
      <c r="A1053" t="s">
        <v>1047</v>
      </c>
      <c r="B1053" t="s">
        <v>1105</v>
      </c>
      <c r="C1053">
        <f>D1053+E1053+F1053+G1053+H1053+I1053</f>
        <v>15</v>
      </c>
      <c r="D1053" s="5">
        <v>15</v>
      </c>
      <c r="E1053" s="5">
        <v>0</v>
      </c>
      <c r="F1053" s="5">
        <v>0</v>
      </c>
      <c r="G1053" s="5">
        <v>0</v>
      </c>
      <c r="H1053" s="5">
        <v>0</v>
      </c>
      <c r="I1053" s="5">
        <v>0</v>
      </c>
      <c r="J1053" s="5">
        <v>11</v>
      </c>
      <c r="K1053">
        <f>J1053+L1053</f>
        <v>15</v>
      </c>
      <c r="L1053" s="5">
        <v>4</v>
      </c>
      <c r="M1053" s="5">
        <v>0</v>
      </c>
      <c r="N1053" s="5">
        <v>340</v>
      </c>
      <c r="O1053" s="3">
        <f>N1053/J1053</f>
        <v>30.90909090909091</v>
      </c>
      <c r="P1053" s="5">
        <v>2</v>
      </c>
      <c r="Q1053" s="5">
        <v>0</v>
      </c>
      <c r="R1053" s="5">
        <v>81</v>
      </c>
      <c r="S1053">
        <v>15</v>
      </c>
      <c r="T1053">
        <v>1</v>
      </c>
      <c r="U1053">
        <v>4</v>
      </c>
      <c r="V1053">
        <v>78</v>
      </c>
      <c r="W1053" s="3">
        <v>5.2</v>
      </c>
      <c r="X1053" s="3">
        <v>19.5</v>
      </c>
      <c r="Y1053" s="4">
        <v>22.5</v>
      </c>
      <c r="Z1053" t="s">
        <v>1106</v>
      </c>
      <c r="AA1053" s="5">
        <v>0</v>
      </c>
      <c r="AB1053" s="5">
        <v>0</v>
      </c>
      <c r="AC1053" s="5">
        <v>6</v>
      </c>
    </row>
    <row r="1054" spans="1:29" x14ac:dyDescent="0.35">
      <c r="A1054" s="1" t="s">
        <v>1047</v>
      </c>
      <c r="B1054" s="1" t="s">
        <v>1049</v>
      </c>
      <c r="C1054">
        <f>D1054+E1054+F1054+G1054+H1054+I1054</f>
        <v>1</v>
      </c>
      <c r="D1054" s="2">
        <v>0</v>
      </c>
      <c r="E1054" s="2">
        <v>0</v>
      </c>
      <c r="F1054" s="2">
        <v>0</v>
      </c>
      <c r="G1054" s="2">
        <v>1</v>
      </c>
      <c r="H1054" s="2">
        <v>0</v>
      </c>
      <c r="I1054" s="2">
        <v>0</v>
      </c>
      <c r="J1054" s="2">
        <v>0</v>
      </c>
      <c r="K1054">
        <f>J1054+L1054</f>
        <v>1</v>
      </c>
      <c r="L1054" s="2">
        <v>1</v>
      </c>
      <c r="M1054" s="2">
        <v>0</v>
      </c>
      <c r="N1054" s="2">
        <v>2</v>
      </c>
      <c r="O1054" s="3" t="e">
        <f>N1054/J1054</f>
        <v>#DIV/0!</v>
      </c>
      <c r="P1054" s="2">
        <v>0</v>
      </c>
      <c r="Q1054" s="2">
        <v>0</v>
      </c>
      <c r="R1054" s="2">
        <v>2</v>
      </c>
      <c r="S1054" s="2">
        <v>0</v>
      </c>
      <c r="T1054" s="2">
        <v>0</v>
      </c>
      <c r="U1054" s="2">
        <v>0</v>
      </c>
      <c r="V1054" s="2">
        <v>0</v>
      </c>
      <c r="W1054" s="3" t="e">
        <f>V1054/S1054</f>
        <v>#DIV/0!</v>
      </c>
      <c r="X1054" s="3" t="e">
        <f>V1054/U1054</f>
        <v>#DIV/0!</v>
      </c>
      <c r="Y1054" s="4" t="e">
        <f>S1054*6/U1054</f>
        <v>#DIV/0!</v>
      </c>
      <c r="Z1054" s="2">
        <v>0</v>
      </c>
      <c r="AA1054" s="2">
        <v>0</v>
      </c>
      <c r="AB1054" s="2">
        <v>0</v>
      </c>
      <c r="AC1054" s="2">
        <v>0</v>
      </c>
    </row>
    <row r="1055" spans="1:29" x14ac:dyDescent="0.35">
      <c r="A1055" s="1" t="s">
        <v>1050</v>
      </c>
      <c r="B1055" s="1" t="s">
        <v>1051</v>
      </c>
      <c r="C1055">
        <f>D1055+E1055+F1055+G1055+H1055+I1055</f>
        <v>3</v>
      </c>
      <c r="D1055" s="2">
        <v>0</v>
      </c>
      <c r="E1055" s="2">
        <v>1</v>
      </c>
      <c r="F1055" s="2">
        <v>2</v>
      </c>
      <c r="G1055" s="2">
        <v>0</v>
      </c>
      <c r="H1055" s="2">
        <v>0</v>
      </c>
      <c r="I1055" s="2">
        <v>0</v>
      </c>
      <c r="J1055" s="2">
        <v>2</v>
      </c>
      <c r="K1055">
        <f>J1055+L1055</f>
        <v>2</v>
      </c>
      <c r="L1055" s="2">
        <v>0</v>
      </c>
      <c r="M1055" s="2">
        <v>1</v>
      </c>
      <c r="N1055" s="2">
        <v>63</v>
      </c>
      <c r="O1055" s="3">
        <f>N1055/J1055</f>
        <v>31.5</v>
      </c>
      <c r="P1055" s="2">
        <v>1</v>
      </c>
      <c r="Q1055" s="2">
        <v>0</v>
      </c>
      <c r="R1055" s="2">
        <v>63</v>
      </c>
      <c r="S1055" s="2">
        <v>22</v>
      </c>
      <c r="T1055" s="2">
        <v>5</v>
      </c>
      <c r="U1055" s="2">
        <v>2</v>
      </c>
      <c r="V1055" s="2">
        <v>40</v>
      </c>
      <c r="W1055" s="3">
        <f>V1055/S1055</f>
        <v>1.8181818181818181</v>
      </c>
      <c r="X1055" s="3">
        <f>V1055/U1055</f>
        <v>20</v>
      </c>
      <c r="Y1055" s="4">
        <f>S1055*6/U1055</f>
        <v>66</v>
      </c>
      <c r="Z1055" s="2">
        <v>1</v>
      </c>
      <c r="AA1055" s="2">
        <v>0</v>
      </c>
      <c r="AB1055" s="2">
        <v>0</v>
      </c>
      <c r="AC1055" s="2">
        <v>1</v>
      </c>
    </row>
    <row r="1056" spans="1:29" x14ac:dyDescent="0.35">
      <c r="A1056" s="1" t="s">
        <v>1052</v>
      </c>
      <c r="B1056" s="1" t="s">
        <v>689</v>
      </c>
      <c r="C1056">
        <f>D1056+E1056+F1056+G1056+H1056+I1056</f>
        <v>3</v>
      </c>
      <c r="D1056" s="2">
        <v>0</v>
      </c>
      <c r="E1056" s="2">
        <v>0</v>
      </c>
      <c r="F1056" s="2">
        <v>0</v>
      </c>
      <c r="G1056" s="2">
        <v>0</v>
      </c>
      <c r="H1056" s="2">
        <v>3</v>
      </c>
      <c r="I1056" s="2">
        <v>0</v>
      </c>
      <c r="J1056" s="2">
        <v>3</v>
      </c>
      <c r="K1056">
        <f>J1056+L1056</f>
        <v>3</v>
      </c>
      <c r="L1056" s="2">
        <v>0</v>
      </c>
      <c r="M1056" s="2">
        <v>0</v>
      </c>
      <c r="N1056" s="2">
        <v>7</v>
      </c>
      <c r="O1056" s="3">
        <f>N1056/J1056</f>
        <v>2.3333333333333335</v>
      </c>
      <c r="P1056" s="2">
        <v>0</v>
      </c>
      <c r="Q1056" s="2">
        <v>0</v>
      </c>
      <c r="R1056" s="2">
        <v>7</v>
      </c>
      <c r="S1056" s="2">
        <v>21</v>
      </c>
      <c r="T1056" s="2">
        <v>1</v>
      </c>
      <c r="U1056" s="2">
        <v>4</v>
      </c>
      <c r="V1056" s="2">
        <v>98</v>
      </c>
      <c r="W1056" s="3">
        <f>V1056/S1056</f>
        <v>4.666666666666667</v>
      </c>
      <c r="X1056" s="3">
        <f>V1056/U1056</f>
        <v>24.5</v>
      </c>
      <c r="Y1056" s="4">
        <f>S1056*6/U1056</f>
        <v>31.5</v>
      </c>
      <c r="Z1056" s="2">
        <v>2</v>
      </c>
      <c r="AA1056" s="2">
        <v>0</v>
      </c>
      <c r="AB1056" s="2">
        <v>0</v>
      </c>
      <c r="AC1056" s="2">
        <v>4</v>
      </c>
    </row>
    <row r="1057" spans="1:29" x14ac:dyDescent="0.35">
      <c r="A1057" s="1" t="s">
        <v>1053</v>
      </c>
      <c r="B1057" s="1" t="s">
        <v>1054</v>
      </c>
      <c r="C1057">
        <f>D1057+E1057+F1057+G1057+H1057+I1057</f>
        <v>1</v>
      </c>
      <c r="D1057" s="2">
        <v>0</v>
      </c>
      <c r="E1057" s="2">
        <v>1</v>
      </c>
      <c r="F1057" s="2">
        <v>0</v>
      </c>
      <c r="G1057" s="2">
        <v>0</v>
      </c>
      <c r="H1057" s="2">
        <v>0</v>
      </c>
      <c r="I1057" s="2">
        <v>0</v>
      </c>
      <c r="J1057" s="2">
        <v>1</v>
      </c>
      <c r="K1057">
        <f>J1057+L1057</f>
        <v>1</v>
      </c>
      <c r="L1057" s="2">
        <v>0</v>
      </c>
      <c r="M1057" s="2">
        <v>0</v>
      </c>
      <c r="N1057" s="2">
        <v>42</v>
      </c>
      <c r="O1057" s="3">
        <f>N1057/J1057</f>
        <v>42</v>
      </c>
      <c r="P1057" s="2">
        <v>0</v>
      </c>
      <c r="Q1057" s="2">
        <v>0</v>
      </c>
      <c r="R1057" s="2">
        <v>42</v>
      </c>
      <c r="S1057" s="2">
        <v>17</v>
      </c>
      <c r="T1057" s="2">
        <v>1</v>
      </c>
      <c r="U1057" s="2">
        <v>2</v>
      </c>
      <c r="V1057" s="2">
        <v>63</v>
      </c>
      <c r="W1057" s="3">
        <f>V1057/S1057</f>
        <v>3.7058823529411766</v>
      </c>
      <c r="X1057" s="3">
        <f>V1057/U1057</f>
        <v>31.5</v>
      </c>
      <c r="Y1057" s="4">
        <f>S1057*6/U1057</f>
        <v>51</v>
      </c>
      <c r="Z1057" s="2">
        <v>2</v>
      </c>
      <c r="AA1057" s="2">
        <v>0</v>
      </c>
      <c r="AB1057" s="2">
        <v>0</v>
      </c>
      <c r="AC1057" s="2">
        <v>0</v>
      </c>
    </row>
    <row r="1058" spans="1:29" x14ac:dyDescent="0.35">
      <c r="A1058" s="35" t="s">
        <v>1261</v>
      </c>
      <c r="B1058" s="35" t="s">
        <v>1262</v>
      </c>
      <c r="C1058">
        <f>D1058+E1058+F1058+G1058+H1058+I1058</f>
        <v>13</v>
      </c>
      <c r="D1058" s="5">
        <v>0</v>
      </c>
      <c r="E1058" s="5">
        <v>0</v>
      </c>
      <c r="F1058" s="5">
        <v>0</v>
      </c>
      <c r="G1058" s="5">
        <v>1</v>
      </c>
      <c r="H1058" s="5">
        <v>12</v>
      </c>
      <c r="I1058" s="5">
        <v>0</v>
      </c>
      <c r="J1058" s="5">
        <v>10</v>
      </c>
      <c r="K1058">
        <f>J1058+L1058</f>
        <v>11</v>
      </c>
      <c r="L1058" s="5">
        <v>1</v>
      </c>
      <c r="M1058" s="5">
        <v>2</v>
      </c>
      <c r="N1058" s="5">
        <v>169</v>
      </c>
      <c r="O1058" s="3">
        <f>N1058/J1058</f>
        <v>16.899999999999999</v>
      </c>
      <c r="P1058" s="5">
        <v>0</v>
      </c>
      <c r="Q1058" s="5">
        <v>0</v>
      </c>
      <c r="R1058" s="5">
        <v>42</v>
      </c>
      <c r="S1058" s="35">
        <f>66+8</f>
        <v>74</v>
      </c>
      <c r="T1058" s="35">
        <v>2</v>
      </c>
      <c r="U1058" s="35">
        <v>8</v>
      </c>
      <c r="V1058" s="35">
        <f>353+26</f>
        <v>379</v>
      </c>
      <c r="W1058" s="3">
        <f>V1058/S1058</f>
        <v>5.1216216216216219</v>
      </c>
      <c r="X1058" s="3">
        <f>V1058/U1058</f>
        <v>47.375</v>
      </c>
      <c r="Y1058" s="3">
        <f>396/U1058</f>
        <v>49.5</v>
      </c>
      <c r="Z1058" s="35" t="s">
        <v>1263</v>
      </c>
      <c r="AA1058" s="45">
        <v>0</v>
      </c>
      <c r="AB1058" s="45">
        <v>0</v>
      </c>
      <c r="AC1058" s="45">
        <v>4</v>
      </c>
    </row>
    <row r="1059" spans="1:29" x14ac:dyDescent="0.35">
      <c r="A1059" s="37" t="s">
        <v>1419</v>
      </c>
      <c r="B1059" s="37" t="s">
        <v>1420</v>
      </c>
      <c r="C1059" s="18">
        <f>D1059+E1059+F1059+G1059+H1059+I1059</f>
        <v>9</v>
      </c>
      <c r="D1059" s="21">
        <v>0</v>
      </c>
      <c r="E1059" s="21">
        <v>0</v>
      </c>
      <c r="F1059" s="21">
        <v>0</v>
      </c>
      <c r="G1059" s="21">
        <v>3</v>
      </c>
      <c r="H1059" s="21">
        <v>6</v>
      </c>
      <c r="I1059" s="21">
        <v>0</v>
      </c>
      <c r="J1059" s="21">
        <v>8</v>
      </c>
      <c r="K1059" s="18">
        <f>J1059+L1059</f>
        <v>9</v>
      </c>
      <c r="L1059" s="21">
        <v>1</v>
      </c>
      <c r="M1059" s="21">
        <v>0</v>
      </c>
      <c r="N1059" s="21">
        <f>25+51</f>
        <v>76</v>
      </c>
      <c r="O1059" s="19">
        <f>N1059/J1059</f>
        <v>9.5</v>
      </c>
      <c r="P1059" s="21">
        <v>0</v>
      </c>
      <c r="Q1059" s="21">
        <v>0</v>
      </c>
      <c r="R1059" s="21">
        <v>24</v>
      </c>
      <c r="S1059" s="37">
        <f>13+14.5</f>
        <v>27.5</v>
      </c>
      <c r="T1059" s="37">
        <v>1</v>
      </c>
      <c r="U1059" s="37">
        <v>4</v>
      </c>
      <c r="V1059" s="37">
        <f>86+74</f>
        <v>160</v>
      </c>
      <c r="W1059" s="19">
        <f>V1059/S1059</f>
        <v>5.8181818181818183</v>
      </c>
      <c r="X1059" s="19">
        <f>V1059/U1059</f>
        <v>40</v>
      </c>
      <c r="Y1059" s="19">
        <f>S1059*6/U1059</f>
        <v>41.25</v>
      </c>
      <c r="Z1059" s="37" t="s">
        <v>1164</v>
      </c>
      <c r="AA1059" s="37">
        <v>0</v>
      </c>
      <c r="AB1059" s="37">
        <v>0</v>
      </c>
      <c r="AC1059" s="37">
        <v>1</v>
      </c>
    </row>
    <row r="1060" spans="1:29" x14ac:dyDescent="0.35">
      <c r="A1060" s="1" t="s">
        <v>1055</v>
      </c>
      <c r="B1060" s="1" t="s">
        <v>319</v>
      </c>
      <c r="C1060">
        <f>D1060+E1060+F1060+G1060+H1060+I1060</f>
        <v>1</v>
      </c>
      <c r="D1060" s="2">
        <v>0</v>
      </c>
      <c r="E1060" s="2">
        <v>0</v>
      </c>
      <c r="F1060" s="2">
        <v>0</v>
      </c>
      <c r="G1060" s="2">
        <v>1</v>
      </c>
      <c r="H1060" s="2">
        <v>0</v>
      </c>
      <c r="I1060" s="2">
        <v>0</v>
      </c>
      <c r="J1060" s="2">
        <v>1</v>
      </c>
      <c r="K1060">
        <f>J1060+L1060</f>
        <v>1</v>
      </c>
      <c r="L1060" s="2">
        <v>0</v>
      </c>
      <c r="M1060" s="2">
        <v>0</v>
      </c>
      <c r="N1060" s="2">
        <v>24</v>
      </c>
      <c r="O1060" s="3">
        <f>N1060/J1060</f>
        <v>24</v>
      </c>
      <c r="P1060" s="2">
        <v>0</v>
      </c>
      <c r="Q1060" s="2">
        <v>0</v>
      </c>
      <c r="R1060" s="2">
        <v>24</v>
      </c>
      <c r="S1060" s="2">
        <v>0</v>
      </c>
      <c r="T1060" s="2">
        <v>0</v>
      </c>
      <c r="U1060" s="2">
        <v>0</v>
      </c>
      <c r="V1060" s="2">
        <v>0</v>
      </c>
      <c r="W1060" s="3" t="e">
        <f>V1060/S1060</f>
        <v>#DIV/0!</v>
      </c>
      <c r="X1060" s="3" t="e">
        <f>V1060/U1060</f>
        <v>#DIV/0!</v>
      </c>
      <c r="Y1060" s="4" t="e">
        <f>S1060*6/U1060</f>
        <v>#DIV/0!</v>
      </c>
      <c r="Z1060" s="2">
        <v>0</v>
      </c>
      <c r="AA1060" s="2">
        <v>0</v>
      </c>
      <c r="AB1060" s="2">
        <v>0</v>
      </c>
      <c r="AC1060" s="2">
        <v>0</v>
      </c>
    </row>
    <row r="1061" spans="1:29" x14ac:dyDescent="0.35">
      <c r="A1061" s="1" t="s">
        <v>1055</v>
      </c>
      <c r="B1061" s="1" t="s">
        <v>198</v>
      </c>
      <c r="C1061">
        <f>D1061+E1061+F1061+G1061+H1061+I1061</f>
        <v>2</v>
      </c>
      <c r="D1061" s="2">
        <v>0</v>
      </c>
      <c r="E1061" s="2">
        <v>0</v>
      </c>
      <c r="F1061" s="2">
        <v>0</v>
      </c>
      <c r="G1061" s="2">
        <v>2</v>
      </c>
      <c r="H1061" s="2">
        <v>0</v>
      </c>
      <c r="I1061" s="2">
        <v>0</v>
      </c>
      <c r="J1061" s="2">
        <v>1</v>
      </c>
      <c r="K1061">
        <f>J1061+L1061</f>
        <v>2</v>
      </c>
      <c r="L1061" s="2">
        <v>1</v>
      </c>
      <c r="M1061" s="2">
        <v>0</v>
      </c>
      <c r="N1061" s="2">
        <v>5</v>
      </c>
      <c r="O1061" s="3">
        <f>N1061/J1061</f>
        <v>5</v>
      </c>
      <c r="P1061" s="2">
        <v>0</v>
      </c>
      <c r="Q1061" s="2">
        <v>0</v>
      </c>
      <c r="R1061" s="2">
        <v>3</v>
      </c>
      <c r="S1061" s="2">
        <v>2</v>
      </c>
      <c r="T1061" s="2">
        <v>0</v>
      </c>
      <c r="U1061" s="2">
        <v>0</v>
      </c>
      <c r="V1061" s="2">
        <v>19</v>
      </c>
      <c r="W1061" s="3">
        <f>V1061/S1061</f>
        <v>9.5</v>
      </c>
      <c r="X1061" s="3" t="e">
        <f>V1061/U1061</f>
        <v>#DIV/0!</v>
      </c>
      <c r="Y1061" s="4" t="e">
        <f>S1061*6/U1061</f>
        <v>#DIV/0!</v>
      </c>
      <c r="Z1061" s="2">
        <v>0</v>
      </c>
      <c r="AA1061" s="2">
        <v>0</v>
      </c>
      <c r="AB1061" s="2">
        <v>0</v>
      </c>
      <c r="AC1061" s="2">
        <v>0</v>
      </c>
    </row>
    <row r="1062" spans="1:29" x14ac:dyDescent="0.35">
      <c r="A1062" s="1" t="s">
        <v>1056</v>
      </c>
      <c r="B1062" s="1" t="s">
        <v>409</v>
      </c>
      <c r="C1062">
        <f>D1062+E1062+F1062+G1062+H1062+I1062</f>
        <v>34</v>
      </c>
      <c r="D1062" s="2">
        <v>2</v>
      </c>
      <c r="E1062" s="2">
        <v>26</v>
      </c>
      <c r="F1062" s="2">
        <v>0</v>
      </c>
      <c r="G1062" s="2">
        <v>5</v>
      </c>
      <c r="H1062" s="2">
        <v>1</v>
      </c>
      <c r="I1062" s="2">
        <v>0</v>
      </c>
      <c r="J1062" s="2">
        <v>28</v>
      </c>
      <c r="K1062">
        <f>J1062+L1062</f>
        <v>34</v>
      </c>
      <c r="L1062" s="2">
        <v>6</v>
      </c>
      <c r="M1062" s="2">
        <v>3</v>
      </c>
      <c r="N1062" s="2">
        <v>624</v>
      </c>
      <c r="O1062" s="3">
        <f>N1062/J1062</f>
        <v>22.285714285714285</v>
      </c>
      <c r="P1062" s="2">
        <v>2</v>
      </c>
      <c r="Q1062" s="2">
        <v>0</v>
      </c>
      <c r="R1062" s="2">
        <v>71</v>
      </c>
      <c r="S1062" s="2">
        <v>34</v>
      </c>
      <c r="T1062" s="2">
        <v>6</v>
      </c>
      <c r="U1062" s="2">
        <v>4</v>
      </c>
      <c r="V1062" s="2">
        <v>88</v>
      </c>
      <c r="W1062" s="3">
        <f>V1062/S1062</f>
        <v>2.5882352941176472</v>
      </c>
      <c r="X1062" s="3">
        <f>V1062/U1062</f>
        <v>22</v>
      </c>
      <c r="Y1062" s="4">
        <f>S1062*6/U1062</f>
        <v>51</v>
      </c>
      <c r="Z1062" s="2">
        <v>2</v>
      </c>
      <c r="AA1062" s="2">
        <v>0</v>
      </c>
      <c r="AB1062" s="2">
        <v>0</v>
      </c>
      <c r="AC1062" s="2">
        <v>24</v>
      </c>
    </row>
    <row r="1063" spans="1:29" x14ac:dyDescent="0.35">
      <c r="A1063" s="1" t="s">
        <v>1056</v>
      </c>
      <c r="B1063" s="1" t="s">
        <v>125</v>
      </c>
      <c r="C1063">
        <f>D1063+E1063+F1063+G1063+H1063+I1063</f>
        <v>35</v>
      </c>
      <c r="D1063" s="2">
        <v>0</v>
      </c>
      <c r="E1063" s="2">
        <v>8</v>
      </c>
      <c r="F1063" s="2">
        <v>6</v>
      </c>
      <c r="G1063" s="2">
        <v>6</v>
      </c>
      <c r="H1063" s="2">
        <v>7</v>
      </c>
      <c r="I1063" s="2">
        <v>8</v>
      </c>
      <c r="J1063" s="2">
        <v>33</v>
      </c>
      <c r="K1063">
        <f>J1063+L1063</f>
        <v>36</v>
      </c>
      <c r="L1063" s="2">
        <v>3</v>
      </c>
      <c r="M1063" s="2">
        <v>4</v>
      </c>
      <c r="N1063" s="2">
        <v>654</v>
      </c>
      <c r="O1063" s="3">
        <f>N1063/J1063</f>
        <v>19.818181818181817</v>
      </c>
      <c r="P1063" s="2">
        <v>2</v>
      </c>
      <c r="Q1063" s="2">
        <v>1</v>
      </c>
      <c r="R1063" s="2">
        <v>139</v>
      </c>
      <c r="S1063" s="2">
        <v>87</v>
      </c>
      <c r="T1063" s="2">
        <v>15</v>
      </c>
      <c r="U1063" s="2">
        <v>19</v>
      </c>
      <c r="V1063" s="2">
        <v>363</v>
      </c>
      <c r="W1063" s="3">
        <f>V1063/S1063</f>
        <v>4.1724137931034484</v>
      </c>
      <c r="X1063" s="3">
        <f>V1063/U1063</f>
        <v>19.105263157894736</v>
      </c>
      <c r="Y1063" s="4">
        <f>S1063*6/U1063</f>
        <v>27.473684210526315</v>
      </c>
      <c r="Z1063" s="2">
        <v>5</v>
      </c>
      <c r="AA1063" s="2">
        <v>0</v>
      </c>
      <c r="AB1063" s="2">
        <v>0</v>
      </c>
      <c r="AC1063" s="2">
        <v>9</v>
      </c>
    </row>
    <row r="1064" spans="1:29" x14ac:dyDescent="0.35">
      <c r="A1064" s="37" t="s">
        <v>1360</v>
      </c>
      <c r="B1064" s="37" t="s">
        <v>224</v>
      </c>
      <c r="C1064" s="18">
        <f>D1064+E1064+F1064+G1064+H1064+I1064</f>
        <v>23</v>
      </c>
      <c r="D1064" s="21">
        <f>9+14</f>
        <v>23</v>
      </c>
      <c r="E1064" s="21">
        <v>0</v>
      </c>
      <c r="F1064" s="21">
        <v>0</v>
      </c>
      <c r="G1064" s="21">
        <v>0</v>
      </c>
      <c r="H1064" s="21">
        <v>0</v>
      </c>
      <c r="I1064" s="21">
        <v>0</v>
      </c>
      <c r="J1064" s="21">
        <v>8</v>
      </c>
      <c r="K1064" s="18">
        <f>J1064+L1064</f>
        <v>15</v>
      </c>
      <c r="L1064" s="21">
        <v>7</v>
      </c>
      <c r="M1064" s="21">
        <v>9</v>
      </c>
      <c r="N1064" s="21">
        <v>50</v>
      </c>
      <c r="O1064" s="19">
        <f>N1064/J1064</f>
        <v>6.25</v>
      </c>
      <c r="P1064" s="21">
        <v>0</v>
      </c>
      <c r="Q1064" s="21">
        <v>0</v>
      </c>
      <c r="R1064" s="37" t="s">
        <v>1400</v>
      </c>
      <c r="S1064" s="37">
        <f>70.5+90</f>
        <v>160.5</v>
      </c>
      <c r="T1064" s="37">
        <v>32</v>
      </c>
      <c r="U1064" s="37">
        <v>20</v>
      </c>
      <c r="V1064" s="37">
        <f>228+309</f>
        <v>537</v>
      </c>
      <c r="W1064" s="19">
        <f>V1064/S1064</f>
        <v>3.3457943925233646</v>
      </c>
      <c r="X1064" s="19">
        <f>V1064/U1064</f>
        <v>26.85</v>
      </c>
      <c r="Y1064" s="19">
        <f>S1064*6/U1064</f>
        <v>48.15</v>
      </c>
      <c r="Z1064" s="37" t="s">
        <v>1193</v>
      </c>
      <c r="AA1064" s="37">
        <v>0</v>
      </c>
      <c r="AB1064" s="39">
        <v>0</v>
      </c>
      <c r="AC1064" s="39">
        <v>3</v>
      </c>
    </row>
    <row r="1065" spans="1:29" x14ac:dyDescent="0.35">
      <c r="A1065" s="1" t="s">
        <v>1057</v>
      </c>
      <c r="B1065" s="1" t="s">
        <v>1058</v>
      </c>
      <c r="C1065">
        <f>D1065+E1065+F1065+G1065+H1065+I1065</f>
        <v>12</v>
      </c>
      <c r="D1065" s="2">
        <v>0</v>
      </c>
      <c r="E1065" s="2">
        <v>6</v>
      </c>
      <c r="F1065" s="2">
        <v>4</v>
      </c>
      <c r="G1065" s="2">
        <v>1</v>
      </c>
      <c r="H1065" s="2">
        <v>1</v>
      </c>
      <c r="I1065" s="2">
        <v>0</v>
      </c>
      <c r="J1065" s="2">
        <v>9</v>
      </c>
      <c r="K1065">
        <f>J1065+L1065</f>
        <v>11</v>
      </c>
      <c r="L1065" s="2">
        <v>2</v>
      </c>
      <c r="M1065" s="2">
        <v>3</v>
      </c>
      <c r="N1065" s="2">
        <v>142</v>
      </c>
      <c r="O1065" s="3">
        <f>N1065/J1065</f>
        <v>15.777777777777779</v>
      </c>
      <c r="P1065" s="2">
        <v>0</v>
      </c>
      <c r="Q1065" s="2">
        <v>0</v>
      </c>
      <c r="R1065" s="2">
        <v>47</v>
      </c>
      <c r="S1065" s="2">
        <v>6</v>
      </c>
      <c r="T1065" s="2">
        <v>0</v>
      </c>
      <c r="U1065" s="2">
        <v>2</v>
      </c>
      <c r="V1065" s="2">
        <v>27</v>
      </c>
      <c r="W1065" s="3">
        <f>V1065/S1065</f>
        <v>4.5</v>
      </c>
      <c r="X1065" s="3">
        <f>V1065/U1065</f>
        <v>13.5</v>
      </c>
      <c r="Y1065" s="4">
        <f>S1065*6/U1065</f>
        <v>18</v>
      </c>
      <c r="Z1065" s="2">
        <v>2</v>
      </c>
      <c r="AA1065" s="2">
        <v>0</v>
      </c>
      <c r="AB1065" s="2">
        <v>0</v>
      </c>
      <c r="AC1065" s="2">
        <v>2</v>
      </c>
    </row>
    <row r="1066" spans="1:29" x14ac:dyDescent="0.35">
      <c r="A1066" s="1" t="s">
        <v>1057</v>
      </c>
      <c r="B1066" s="1" t="s">
        <v>1059</v>
      </c>
      <c r="C1066">
        <f>D1066+E1066+F1066+G1066+H1066+I1066</f>
        <v>4</v>
      </c>
      <c r="D1066" s="2">
        <v>0</v>
      </c>
      <c r="E1066" s="2">
        <v>0</v>
      </c>
      <c r="F1066" s="2">
        <v>0</v>
      </c>
      <c r="G1066" s="2">
        <v>3</v>
      </c>
      <c r="H1066" s="2">
        <v>1</v>
      </c>
      <c r="I1066" s="2">
        <v>0</v>
      </c>
      <c r="J1066" s="2">
        <v>3</v>
      </c>
      <c r="K1066">
        <f>J1066+L1066</f>
        <v>3</v>
      </c>
      <c r="L1066" s="2">
        <v>0</v>
      </c>
      <c r="M1066" s="2">
        <v>1</v>
      </c>
      <c r="N1066" s="2">
        <v>12</v>
      </c>
      <c r="O1066" s="3">
        <f>N1066/J1066</f>
        <v>4</v>
      </c>
      <c r="P1066" s="2">
        <v>0</v>
      </c>
      <c r="Q1066" s="2">
        <v>0</v>
      </c>
      <c r="R1066" s="2">
        <v>6</v>
      </c>
      <c r="S1066" s="2">
        <v>8</v>
      </c>
      <c r="T1066" s="2">
        <v>2</v>
      </c>
      <c r="U1066" s="2">
        <v>1</v>
      </c>
      <c r="V1066" s="2">
        <v>32</v>
      </c>
      <c r="W1066" s="3">
        <f>V1066/S1066</f>
        <v>4</v>
      </c>
      <c r="X1066" s="3">
        <f>V1066/U1066</f>
        <v>32</v>
      </c>
      <c r="Y1066" s="4">
        <f>S1066*6/U1066</f>
        <v>48</v>
      </c>
      <c r="Z1066" s="2">
        <v>1</v>
      </c>
      <c r="AA1066" s="2">
        <v>0</v>
      </c>
      <c r="AB1066" s="2">
        <v>0</v>
      </c>
      <c r="AC1066" s="2">
        <v>2</v>
      </c>
    </row>
    <row r="1067" spans="1:29" x14ac:dyDescent="0.35">
      <c r="A1067" s="1" t="s">
        <v>1057</v>
      </c>
      <c r="B1067" s="1" t="s">
        <v>154</v>
      </c>
      <c r="C1067">
        <f>D1067+E1067+F1067+G1067+H1067+I1067</f>
        <v>6</v>
      </c>
      <c r="D1067" s="2">
        <v>0</v>
      </c>
      <c r="E1067" s="2">
        <v>0</v>
      </c>
      <c r="F1067" s="2">
        <v>1</v>
      </c>
      <c r="G1067" s="2">
        <v>5</v>
      </c>
      <c r="H1067" s="2">
        <v>0</v>
      </c>
      <c r="I1067" s="2">
        <v>0</v>
      </c>
      <c r="J1067" s="2">
        <v>2</v>
      </c>
      <c r="K1067">
        <f>J1067+L1067</f>
        <v>3</v>
      </c>
      <c r="L1067" s="2">
        <v>1</v>
      </c>
      <c r="M1067" s="2">
        <v>3</v>
      </c>
      <c r="N1067" s="2">
        <v>96</v>
      </c>
      <c r="O1067" s="3">
        <f>N1067/J1067</f>
        <v>48</v>
      </c>
      <c r="P1067" s="2">
        <v>1</v>
      </c>
      <c r="Q1067" s="2">
        <v>0</v>
      </c>
      <c r="R1067" s="2">
        <v>77</v>
      </c>
      <c r="S1067" s="2">
        <v>20</v>
      </c>
      <c r="T1067" s="2">
        <v>4</v>
      </c>
      <c r="U1067" s="2">
        <v>2</v>
      </c>
      <c r="V1067" s="2">
        <v>44</v>
      </c>
      <c r="W1067" s="3">
        <f>V1067/S1067</f>
        <v>2.2000000000000002</v>
      </c>
      <c r="X1067" s="3">
        <f>V1067/U1067</f>
        <v>22</v>
      </c>
      <c r="Y1067" s="4">
        <f>S1067*6/U1067</f>
        <v>60</v>
      </c>
      <c r="Z1067" s="2">
        <v>1</v>
      </c>
      <c r="AA1067" s="2">
        <v>0</v>
      </c>
      <c r="AB1067" s="2">
        <v>0</v>
      </c>
      <c r="AC1067" s="2">
        <v>1</v>
      </c>
    </row>
    <row r="1068" spans="1:29" x14ac:dyDescent="0.35">
      <c r="A1068" s="1" t="s">
        <v>1060</v>
      </c>
      <c r="B1068" s="1" t="s">
        <v>829</v>
      </c>
      <c r="C1068">
        <f>D1068+E1068+F1068+G1068+H1068+I1068</f>
        <v>1</v>
      </c>
      <c r="D1068" s="2">
        <v>0</v>
      </c>
      <c r="E1068" s="2">
        <v>1</v>
      </c>
      <c r="F1068" s="2">
        <v>0</v>
      </c>
      <c r="G1068" s="2">
        <v>0</v>
      </c>
      <c r="H1068" s="2">
        <v>0</v>
      </c>
      <c r="I1068" s="2">
        <v>0</v>
      </c>
      <c r="J1068" s="2">
        <v>2</v>
      </c>
      <c r="K1068">
        <f>J1068+L1068</f>
        <v>2</v>
      </c>
      <c r="L1068" s="2">
        <v>0</v>
      </c>
      <c r="M1068" s="2">
        <v>0</v>
      </c>
      <c r="N1068" s="2">
        <v>6</v>
      </c>
      <c r="O1068" s="3">
        <f>N1068/J1068</f>
        <v>3</v>
      </c>
      <c r="P1068" s="2">
        <v>0</v>
      </c>
      <c r="Q1068" s="2">
        <v>0</v>
      </c>
      <c r="R1068" s="2">
        <v>6</v>
      </c>
      <c r="S1068" s="2">
        <v>1</v>
      </c>
      <c r="T1068" s="2">
        <v>0</v>
      </c>
      <c r="U1068" s="2">
        <v>0</v>
      </c>
      <c r="V1068" s="2">
        <v>4</v>
      </c>
      <c r="W1068" s="3">
        <f>V1068/S1068</f>
        <v>4</v>
      </c>
      <c r="X1068" s="3" t="e">
        <f>V1068/U1068</f>
        <v>#DIV/0!</v>
      </c>
      <c r="Y1068" s="4" t="e">
        <f>S1068*6/U1068</f>
        <v>#DIV/0!</v>
      </c>
      <c r="Z1068" s="2">
        <v>0</v>
      </c>
      <c r="AA1068" s="2">
        <v>0</v>
      </c>
      <c r="AB1068" s="2">
        <v>0</v>
      </c>
      <c r="AC1068" s="2">
        <v>0</v>
      </c>
    </row>
    <row r="1069" spans="1:29" x14ac:dyDescent="0.35">
      <c r="A1069" s="1" t="s">
        <v>1061</v>
      </c>
      <c r="B1069" s="1" t="s">
        <v>171</v>
      </c>
      <c r="C1069">
        <f>D1069+E1069+F1069+G1069+H1069+I1069</f>
        <v>14</v>
      </c>
      <c r="D1069" s="2">
        <v>12</v>
      </c>
      <c r="E1069" s="2">
        <v>0</v>
      </c>
      <c r="F1069" s="2">
        <v>0</v>
      </c>
      <c r="G1069" s="2">
        <v>0</v>
      </c>
      <c r="H1069" s="2">
        <v>1</v>
      </c>
      <c r="I1069" s="2">
        <v>1</v>
      </c>
      <c r="J1069" s="2">
        <v>9</v>
      </c>
      <c r="K1069">
        <f>J1069+L1069</f>
        <v>12</v>
      </c>
      <c r="L1069" s="2">
        <v>3</v>
      </c>
      <c r="M1069" s="2">
        <v>4</v>
      </c>
      <c r="N1069" s="2">
        <v>200</v>
      </c>
      <c r="O1069" s="3">
        <f>N1069/J1069</f>
        <v>22.222222222222221</v>
      </c>
      <c r="P1069" s="2">
        <v>1</v>
      </c>
      <c r="Q1069" s="2">
        <v>0</v>
      </c>
      <c r="R1069" s="2">
        <v>86</v>
      </c>
      <c r="S1069" s="2">
        <v>247</v>
      </c>
      <c r="T1069" s="2">
        <v>82</v>
      </c>
      <c r="U1069" s="2">
        <v>43</v>
      </c>
      <c r="V1069" s="2">
        <v>554</v>
      </c>
      <c r="W1069" s="3">
        <f>V1069/S1069</f>
        <v>2.2429149797570851</v>
      </c>
      <c r="X1069" s="3">
        <f>V1069/U1069</f>
        <v>12.883720930232558</v>
      </c>
      <c r="Y1069" s="4">
        <f>S1069*6/U1069</f>
        <v>34.465116279069768</v>
      </c>
      <c r="Z1069" s="2">
        <v>6</v>
      </c>
      <c r="AA1069" s="2">
        <v>3</v>
      </c>
      <c r="AB1069" s="2">
        <v>0</v>
      </c>
      <c r="AC1069" s="2">
        <v>3</v>
      </c>
    </row>
    <row r="1070" spans="1:29" x14ac:dyDescent="0.35">
      <c r="A1070" s="1" t="s">
        <v>1061</v>
      </c>
      <c r="B1070" s="1" t="s">
        <v>1063</v>
      </c>
      <c r="C1070">
        <f>D1070+E1070+F1070+G1070+H1070+I1070</f>
        <v>22</v>
      </c>
      <c r="D1070" s="2">
        <v>0</v>
      </c>
      <c r="E1070" s="2">
        <v>0</v>
      </c>
      <c r="F1070" s="2">
        <v>1</v>
      </c>
      <c r="G1070" s="2">
        <v>14</v>
      </c>
      <c r="H1070" s="2">
        <v>3</v>
      </c>
      <c r="I1070" s="2">
        <v>4</v>
      </c>
      <c r="J1070" s="2">
        <v>20</v>
      </c>
      <c r="K1070">
        <f>J1070+L1070</f>
        <v>23</v>
      </c>
      <c r="L1070" s="2">
        <v>3</v>
      </c>
      <c r="M1070" s="2">
        <v>5</v>
      </c>
      <c r="N1070" s="2">
        <v>346</v>
      </c>
      <c r="O1070" s="3">
        <f>N1070/J1070</f>
        <v>17.3</v>
      </c>
      <c r="P1070" s="2">
        <v>2</v>
      </c>
      <c r="Q1070" s="2">
        <v>0</v>
      </c>
      <c r="R1070" s="2">
        <v>55</v>
      </c>
      <c r="S1070" s="2">
        <v>134</v>
      </c>
      <c r="T1070" s="2">
        <v>13</v>
      </c>
      <c r="U1070" s="2">
        <v>17</v>
      </c>
      <c r="V1070" s="2">
        <v>493</v>
      </c>
      <c r="W1070" s="3">
        <f>V1070/S1070</f>
        <v>3.6791044776119404</v>
      </c>
      <c r="X1070" s="3">
        <f>V1070/U1070</f>
        <v>29</v>
      </c>
      <c r="Y1070" s="4">
        <f>S1070*6/U1070</f>
        <v>47.294117647058826</v>
      </c>
      <c r="Z1070" s="2">
        <v>3</v>
      </c>
      <c r="AA1070" s="2">
        <v>0</v>
      </c>
      <c r="AB1070" s="2">
        <v>0</v>
      </c>
      <c r="AC1070" s="2">
        <v>3</v>
      </c>
    </row>
    <row r="1071" spans="1:29" x14ac:dyDescent="0.35">
      <c r="A1071" s="1" t="s">
        <v>1061</v>
      </c>
      <c r="B1071" s="1" t="s">
        <v>1062</v>
      </c>
      <c r="C1071">
        <f>D1071+E1071+F1071+G1071+H1071+I1071</f>
        <v>3</v>
      </c>
      <c r="D1071" s="2">
        <v>0</v>
      </c>
      <c r="E1071" s="2">
        <v>0</v>
      </c>
      <c r="F1071" s="2">
        <v>0</v>
      </c>
      <c r="G1071" s="2">
        <v>0</v>
      </c>
      <c r="H1071" s="2">
        <v>1</v>
      </c>
      <c r="I1071" s="2">
        <v>2</v>
      </c>
      <c r="J1071" s="2">
        <v>1</v>
      </c>
      <c r="K1071">
        <f>J1071+L1071</f>
        <v>3</v>
      </c>
      <c r="L1071" s="2">
        <v>2</v>
      </c>
      <c r="M1071" s="2">
        <v>0</v>
      </c>
      <c r="N1071" s="2">
        <v>8</v>
      </c>
      <c r="O1071" s="3">
        <f>N1071/J1071</f>
        <v>8</v>
      </c>
      <c r="P1071" s="2">
        <v>0</v>
      </c>
      <c r="Q1071" s="2">
        <v>0</v>
      </c>
      <c r="R1071" s="2">
        <v>5</v>
      </c>
      <c r="S1071" s="2">
        <v>8</v>
      </c>
      <c r="T1071" s="2">
        <v>1</v>
      </c>
      <c r="U1071" s="2">
        <v>0</v>
      </c>
      <c r="V1071" s="2">
        <v>29</v>
      </c>
      <c r="W1071" s="3">
        <f>V1071/S1071</f>
        <v>3.625</v>
      </c>
      <c r="X1071" s="3" t="e">
        <f>V1071/U1071</f>
        <v>#DIV/0!</v>
      </c>
      <c r="Y1071" s="4" t="e">
        <f>S1071*6/U1071</f>
        <v>#DIV/0!</v>
      </c>
      <c r="Z1071" s="2">
        <v>0</v>
      </c>
      <c r="AA1071" s="2">
        <v>0</v>
      </c>
      <c r="AB1071" s="2">
        <v>0</v>
      </c>
      <c r="AC1071" s="2">
        <v>0</v>
      </c>
    </row>
    <row r="1072" spans="1:29" x14ac:dyDescent="0.35">
      <c r="A1072" s="1" t="s">
        <v>1064</v>
      </c>
      <c r="B1072" s="1" t="s">
        <v>1066</v>
      </c>
      <c r="C1072">
        <f>D1072+E1072+F1072+G1072+H1072+I1072</f>
        <v>191</v>
      </c>
      <c r="D1072" s="2">
        <v>0</v>
      </c>
      <c r="E1072" s="2">
        <v>0</v>
      </c>
      <c r="F1072" s="2">
        <v>2</v>
      </c>
      <c r="G1072" s="2">
        <v>11</v>
      </c>
      <c r="H1072" s="2">
        <v>156</v>
      </c>
      <c r="I1072" s="2">
        <v>22</v>
      </c>
      <c r="J1072" s="2">
        <v>98</v>
      </c>
      <c r="K1072">
        <f>J1072+L1072</f>
        <v>129</v>
      </c>
      <c r="L1072" s="2">
        <v>31</v>
      </c>
      <c r="M1072" s="2">
        <v>72</v>
      </c>
      <c r="N1072" s="2">
        <v>2253</v>
      </c>
      <c r="O1072" s="3">
        <f>N1072/J1072</f>
        <v>22.989795918367346</v>
      </c>
      <c r="P1072" s="2">
        <v>10</v>
      </c>
      <c r="Q1072" s="2">
        <v>2</v>
      </c>
      <c r="R1072" s="2">
        <v>106</v>
      </c>
      <c r="S1072" s="2">
        <v>567</v>
      </c>
      <c r="T1072" s="2">
        <v>103</v>
      </c>
      <c r="U1072" s="2">
        <v>92</v>
      </c>
      <c r="V1072" s="2">
        <v>1683</v>
      </c>
      <c r="W1072" s="3">
        <f>V1072/S1072</f>
        <v>2.9682539682539684</v>
      </c>
      <c r="X1072" s="3">
        <f>V1072/U1072</f>
        <v>18.293478260869566</v>
      </c>
      <c r="Y1072" s="4">
        <f>S1072*6/U1072</f>
        <v>36.978260869565219</v>
      </c>
      <c r="Z1072" s="2">
        <v>6</v>
      </c>
      <c r="AA1072" s="2">
        <v>1</v>
      </c>
      <c r="AB1072" s="2">
        <v>0</v>
      </c>
      <c r="AC1072" s="2">
        <v>64</v>
      </c>
    </row>
    <row r="1073" spans="1:29" x14ac:dyDescent="0.35">
      <c r="A1073" s="1" t="s">
        <v>1064</v>
      </c>
      <c r="B1073" s="1" t="s">
        <v>1065</v>
      </c>
      <c r="C1073">
        <f>D1073+E1073+F1073+G1073+H1073+I1073</f>
        <v>130</v>
      </c>
      <c r="D1073" s="2">
        <v>105</v>
      </c>
      <c r="E1073" s="2">
        <v>6</v>
      </c>
      <c r="F1073" s="2">
        <v>8</v>
      </c>
      <c r="G1073" s="2">
        <v>9</v>
      </c>
      <c r="H1073" s="2">
        <v>2</v>
      </c>
      <c r="I1073" s="2">
        <v>0</v>
      </c>
      <c r="J1073" s="2">
        <v>90</v>
      </c>
      <c r="K1073">
        <f>J1073+L1073</f>
        <v>115</v>
      </c>
      <c r="L1073" s="2">
        <v>25</v>
      </c>
      <c r="M1073" s="2">
        <v>18</v>
      </c>
      <c r="N1073" s="2">
        <v>1934</v>
      </c>
      <c r="O1073" s="3">
        <f>N1073/J1073</f>
        <v>21.488888888888887</v>
      </c>
      <c r="P1073" s="2">
        <v>4</v>
      </c>
      <c r="Q1073" s="2">
        <v>1</v>
      </c>
      <c r="R1073" s="2">
        <v>120</v>
      </c>
      <c r="S1073" s="2">
        <v>962</v>
      </c>
      <c r="T1073" s="2">
        <v>244</v>
      </c>
      <c r="U1073" s="2">
        <v>123</v>
      </c>
      <c r="V1073" s="2">
        <v>2278</v>
      </c>
      <c r="W1073" s="3">
        <f>V1073/S1073</f>
        <v>2.3679833679833679</v>
      </c>
      <c r="X1073" s="3">
        <f>V1073/U1073</f>
        <v>18.520325203252032</v>
      </c>
      <c r="Y1073" s="4">
        <f>S1073*6/U1073</f>
        <v>46.926829268292686</v>
      </c>
      <c r="Z1073" s="2">
        <v>5</v>
      </c>
      <c r="AA1073" s="2">
        <v>3</v>
      </c>
      <c r="AB1073" s="2">
        <v>0</v>
      </c>
      <c r="AC1073" s="2">
        <v>36</v>
      </c>
    </row>
    <row r="1074" spans="1:29" x14ac:dyDescent="0.35">
      <c r="A1074" s="1" t="s">
        <v>1064</v>
      </c>
      <c r="B1074" s="1" t="s">
        <v>24</v>
      </c>
      <c r="C1074">
        <f>D1074+E1074+F1074+G1074+H1074+I1074</f>
        <v>44</v>
      </c>
      <c r="D1074" s="2">
        <v>0</v>
      </c>
      <c r="E1074" s="2">
        <v>0</v>
      </c>
      <c r="F1074" s="2">
        <v>0</v>
      </c>
      <c r="G1074" s="2">
        <v>0</v>
      </c>
      <c r="H1074" s="2">
        <v>43</v>
      </c>
      <c r="I1074" s="2">
        <v>1</v>
      </c>
      <c r="J1074" s="2">
        <v>19</v>
      </c>
      <c r="K1074">
        <f>J1074+L1074</f>
        <v>27</v>
      </c>
      <c r="L1074" s="2">
        <v>8</v>
      </c>
      <c r="M1074" s="2">
        <v>24</v>
      </c>
      <c r="N1074" s="2">
        <v>150</v>
      </c>
      <c r="O1074" s="3">
        <f>N1074/J1074</f>
        <v>7.8947368421052628</v>
      </c>
      <c r="P1074" s="2">
        <v>0</v>
      </c>
      <c r="Q1074" s="2">
        <v>0</v>
      </c>
      <c r="R1074" s="2">
        <v>26</v>
      </c>
      <c r="S1074" s="2">
        <v>0</v>
      </c>
      <c r="T1074" s="2">
        <v>0</v>
      </c>
      <c r="U1074" s="2">
        <v>0</v>
      </c>
      <c r="V1074" s="2">
        <v>0</v>
      </c>
      <c r="W1074" s="3" t="e">
        <f>V1074/S1074</f>
        <v>#DIV/0!</v>
      </c>
      <c r="X1074" s="3" t="e">
        <f>V1074/U1074</f>
        <v>#DIV/0!</v>
      </c>
      <c r="Y1074" s="4" t="e">
        <f>S1074*6/U1074</f>
        <v>#DIV/0!</v>
      </c>
      <c r="Z1074" s="2">
        <v>0</v>
      </c>
      <c r="AA1074" s="2">
        <v>0</v>
      </c>
      <c r="AB1074" s="2">
        <v>0</v>
      </c>
      <c r="AC1074" s="2">
        <v>28</v>
      </c>
    </row>
    <row r="1075" spans="1:29" x14ac:dyDescent="0.35">
      <c r="A1075" s="1" t="s">
        <v>1067</v>
      </c>
      <c r="B1075" s="1" t="s">
        <v>1068</v>
      </c>
      <c r="C1075">
        <f>D1075+E1075+F1075+G1075+H1075+I1075</f>
        <v>16</v>
      </c>
      <c r="D1075" s="2">
        <v>0</v>
      </c>
      <c r="E1075" s="2">
        <v>6</v>
      </c>
      <c r="F1075" s="2">
        <v>9</v>
      </c>
      <c r="G1075" s="2">
        <v>0</v>
      </c>
      <c r="H1075" s="2">
        <v>1</v>
      </c>
      <c r="I1075" s="2">
        <v>0</v>
      </c>
      <c r="J1075" s="2">
        <v>10</v>
      </c>
      <c r="K1075">
        <f>J1075+L1075</f>
        <v>15</v>
      </c>
      <c r="L1075" s="2">
        <v>5</v>
      </c>
      <c r="M1075" s="2">
        <v>4</v>
      </c>
      <c r="N1075" s="2">
        <v>97</v>
      </c>
      <c r="O1075" s="3">
        <f>N1075/J1075</f>
        <v>9.6999999999999993</v>
      </c>
      <c r="P1075" s="2">
        <v>0</v>
      </c>
      <c r="Q1075" s="2">
        <v>0</v>
      </c>
      <c r="R1075" s="2">
        <v>41</v>
      </c>
      <c r="S1075" s="2">
        <v>193</v>
      </c>
      <c r="T1075" s="2">
        <v>33</v>
      </c>
      <c r="U1075" s="2">
        <v>34</v>
      </c>
      <c r="V1075" s="2">
        <v>596</v>
      </c>
      <c r="W1075" s="3">
        <f>V1075/S1075</f>
        <v>3.088082901554404</v>
      </c>
      <c r="X1075" s="3">
        <f>V1075/U1075</f>
        <v>17.529411764705884</v>
      </c>
      <c r="Y1075" s="4">
        <f>S1075*6/U1075</f>
        <v>34.058823529411768</v>
      </c>
      <c r="Z1075" s="2">
        <v>5</v>
      </c>
      <c r="AA1075" s="2">
        <v>2</v>
      </c>
      <c r="AB1075" s="2">
        <v>0</v>
      </c>
      <c r="AC1075" s="2">
        <v>1</v>
      </c>
    </row>
    <row r="1076" spans="1:29" x14ac:dyDescent="0.35">
      <c r="A1076" s="1" t="s">
        <v>1069</v>
      </c>
      <c r="B1076" s="1" t="s">
        <v>106</v>
      </c>
      <c r="C1076">
        <f>D1076+E1076+F1076+G1076+H1076+I1076</f>
        <v>3</v>
      </c>
      <c r="D1076" s="2">
        <v>0</v>
      </c>
      <c r="E1076" s="2">
        <v>0</v>
      </c>
      <c r="F1076" s="2">
        <v>0</v>
      </c>
      <c r="G1076" s="2">
        <v>1</v>
      </c>
      <c r="H1076" s="2">
        <v>2</v>
      </c>
      <c r="I1076" s="2">
        <v>0</v>
      </c>
      <c r="J1076" s="2">
        <v>3</v>
      </c>
      <c r="K1076">
        <f>J1076+L1076</f>
        <v>3</v>
      </c>
      <c r="L1076" s="2">
        <v>0</v>
      </c>
      <c r="M1076" s="2">
        <v>0</v>
      </c>
      <c r="N1076" s="2">
        <v>60</v>
      </c>
      <c r="O1076" s="3">
        <f>N1076/J1076</f>
        <v>20</v>
      </c>
      <c r="P1076" s="2">
        <v>0</v>
      </c>
      <c r="Q1076" s="2">
        <v>0</v>
      </c>
      <c r="R1076" s="2">
        <v>31</v>
      </c>
      <c r="S1076" s="2">
        <v>4</v>
      </c>
      <c r="T1076" s="2">
        <v>2</v>
      </c>
      <c r="U1076" s="2">
        <v>0</v>
      </c>
      <c r="V1076" s="2">
        <v>10</v>
      </c>
      <c r="W1076" s="3">
        <f>V1076/S1076</f>
        <v>2.5</v>
      </c>
      <c r="X1076" s="3" t="e">
        <f>V1076/U1076</f>
        <v>#DIV/0!</v>
      </c>
      <c r="Y1076" s="4" t="e">
        <f>S1076*6/U1076</f>
        <v>#DIV/0!</v>
      </c>
      <c r="Z1076" s="2">
        <v>0</v>
      </c>
      <c r="AA1076" s="2">
        <v>0</v>
      </c>
      <c r="AB1076" s="2">
        <v>0</v>
      </c>
      <c r="AC1076" s="2">
        <v>0</v>
      </c>
    </row>
    <row r="1077" spans="1:29" x14ac:dyDescent="0.35">
      <c r="A1077" s="1" t="s">
        <v>1070</v>
      </c>
      <c r="B1077" s="1" t="s">
        <v>1065</v>
      </c>
      <c r="C1077">
        <f>D1077+E1077+F1077+G1077+H1077+I1077</f>
        <v>1</v>
      </c>
      <c r="D1077" s="2">
        <v>0</v>
      </c>
      <c r="E1077" s="2">
        <v>0</v>
      </c>
      <c r="F1077" s="2">
        <v>0</v>
      </c>
      <c r="G1077" s="2">
        <v>0</v>
      </c>
      <c r="H1077" s="2">
        <v>1</v>
      </c>
      <c r="I1077" s="2">
        <v>0</v>
      </c>
      <c r="J1077" s="2">
        <v>1</v>
      </c>
      <c r="K1077">
        <f>J1077+L1077</f>
        <v>1</v>
      </c>
      <c r="L1077" s="2">
        <v>0</v>
      </c>
      <c r="M1077" s="2">
        <v>0</v>
      </c>
      <c r="N1077" s="2">
        <v>0</v>
      </c>
      <c r="O1077" s="3">
        <f>N1077/J1077</f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>
        <v>0</v>
      </c>
      <c r="V1077" s="2">
        <v>0</v>
      </c>
      <c r="W1077" s="3" t="e">
        <f>V1077/S1077</f>
        <v>#DIV/0!</v>
      </c>
      <c r="X1077" s="3" t="e">
        <f>V1077/U1077</f>
        <v>#DIV/0!</v>
      </c>
      <c r="Y1077" s="4" t="e">
        <f>S1077*6/U1077</f>
        <v>#DIV/0!</v>
      </c>
      <c r="Z1077" s="2">
        <v>0</v>
      </c>
      <c r="AA1077" s="2">
        <v>0</v>
      </c>
      <c r="AB1077" s="2">
        <v>0</v>
      </c>
      <c r="AC1077" s="2">
        <v>0</v>
      </c>
    </row>
    <row r="1078" spans="1:29" x14ac:dyDescent="0.35">
      <c r="A1078" s="1" t="s">
        <v>1071</v>
      </c>
      <c r="B1078" s="1" t="s">
        <v>1072</v>
      </c>
      <c r="C1078">
        <f>D1078+E1078+F1078+G1078+H1078+I1078</f>
        <v>9</v>
      </c>
      <c r="D1078" s="2">
        <v>0</v>
      </c>
      <c r="E1078" s="2">
        <v>0</v>
      </c>
      <c r="F1078" s="2">
        <v>0</v>
      </c>
      <c r="G1078" s="2">
        <v>0</v>
      </c>
      <c r="H1078" s="2">
        <v>9</v>
      </c>
      <c r="I1078" s="2">
        <v>0</v>
      </c>
      <c r="J1078" s="2">
        <v>4</v>
      </c>
      <c r="K1078">
        <f>J1078+L1078</f>
        <v>7</v>
      </c>
      <c r="L1078" s="2">
        <v>3</v>
      </c>
      <c r="M1078" s="2">
        <v>2</v>
      </c>
      <c r="N1078" s="2">
        <v>111</v>
      </c>
      <c r="O1078" s="3">
        <f>N1078/J1078</f>
        <v>27.75</v>
      </c>
      <c r="P1078" s="2">
        <v>1</v>
      </c>
      <c r="Q1078" s="2">
        <v>0</v>
      </c>
      <c r="R1078" s="2">
        <v>62</v>
      </c>
      <c r="S1078" s="2">
        <v>54</v>
      </c>
      <c r="T1078" s="2">
        <v>3</v>
      </c>
      <c r="U1078" s="2">
        <v>15</v>
      </c>
      <c r="V1078" s="2">
        <v>165</v>
      </c>
      <c r="W1078" s="3">
        <f>V1078/S1078</f>
        <v>3.0555555555555554</v>
      </c>
      <c r="X1078" s="3">
        <f>V1078/U1078</f>
        <v>11</v>
      </c>
      <c r="Y1078" s="4">
        <f>S1078*6/U1078</f>
        <v>21.6</v>
      </c>
      <c r="Z1078" s="2">
        <v>3</v>
      </c>
      <c r="AA1078" s="2">
        <v>0</v>
      </c>
      <c r="AB1078" s="2">
        <v>0</v>
      </c>
      <c r="AC1078" s="2">
        <v>4</v>
      </c>
    </row>
    <row r="1079" spans="1:29" x14ac:dyDescent="0.35">
      <c r="A1079" s="1" t="s">
        <v>1073</v>
      </c>
      <c r="B1079" s="1" t="s">
        <v>156</v>
      </c>
      <c r="C1079">
        <f>D1079+E1079+F1079+G1079+H1079+I1079</f>
        <v>6</v>
      </c>
      <c r="D1079" s="2">
        <v>0</v>
      </c>
      <c r="E1079" s="2">
        <v>0</v>
      </c>
      <c r="F1079" s="2">
        <v>6</v>
      </c>
      <c r="G1079" s="2">
        <v>0</v>
      </c>
      <c r="H1079" s="2">
        <v>0</v>
      </c>
      <c r="I1079" s="2">
        <v>0</v>
      </c>
      <c r="J1079" s="2">
        <v>4</v>
      </c>
      <c r="K1079">
        <f>J1079+L1079</f>
        <v>6</v>
      </c>
      <c r="L1079" s="2">
        <v>2</v>
      </c>
      <c r="M1079" s="2">
        <v>0</v>
      </c>
      <c r="N1079" s="2">
        <v>55</v>
      </c>
      <c r="O1079" s="3">
        <f>N1079/J1079</f>
        <v>13.75</v>
      </c>
      <c r="P1079" s="2">
        <v>0</v>
      </c>
      <c r="Q1079" s="2">
        <v>0</v>
      </c>
      <c r="R1079" s="2">
        <v>18</v>
      </c>
      <c r="S1079" s="2">
        <v>28</v>
      </c>
      <c r="T1079" s="2">
        <v>0</v>
      </c>
      <c r="U1079" s="2">
        <v>7</v>
      </c>
      <c r="V1079" s="2">
        <v>153</v>
      </c>
      <c r="W1079" s="3">
        <f>V1079/S1079</f>
        <v>5.4642857142857144</v>
      </c>
      <c r="X1079" s="3">
        <f>V1079/U1079</f>
        <v>21.857142857142858</v>
      </c>
      <c r="Y1079" s="4">
        <f>S1079*6/U1079</f>
        <v>24</v>
      </c>
      <c r="Z1079" s="2">
        <v>3</v>
      </c>
      <c r="AA1079" s="2">
        <v>0</v>
      </c>
      <c r="AB1079" s="2">
        <v>0</v>
      </c>
      <c r="AC1079" s="2">
        <v>1</v>
      </c>
    </row>
    <row r="1080" spans="1:29" x14ac:dyDescent="0.35">
      <c r="A1080" s="1" t="s">
        <v>1074</v>
      </c>
      <c r="B1080" s="1" t="s">
        <v>1075</v>
      </c>
      <c r="C1080">
        <f>D1080+E1080+F1080+G1080+H1080+I1080</f>
        <v>6</v>
      </c>
      <c r="D1080" s="2">
        <v>0</v>
      </c>
      <c r="E1080" s="2">
        <v>0</v>
      </c>
      <c r="F1080" s="2">
        <v>4</v>
      </c>
      <c r="G1080" s="2">
        <v>0</v>
      </c>
      <c r="H1080" s="2">
        <v>2</v>
      </c>
      <c r="I1080" s="2">
        <v>0</v>
      </c>
      <c r="J1080" s="2">
        <v>7</v>
      </c>
      <c r="K1080">
        <f>J1080+L1080</f>
        <v>8</v>
      </c>
      <c r="L1080" s="2">
        <v>1</v>
      </c>
      <c r="M1080" s="2">
        <v>0</v>
      </c>
      <c r="N1080" s="2">
        <v>175</v>
      </c>
      <c r="O1080" s="3">
        <f>N1080/J1080</f>
        <v>25</v>
      </c>
      <c r="P1080" s="2">
        <v>2</v>
      </c>
      <c r="Q1080" s="2">
        <v>0</v>
      </c>
      <c r="R1080" s="2">
        <v>54</v>
      </c>
      <c r="S1080" s="2">
        <v>21</v>
      </c>
      <c r="T1080" s="2">
        <v>2</v>
      </c>
      <c r="U1080" s="2">
        <v>2</v>
      </c>
      <c r="V1080" s="2">
        <v>131</v>
      </c>
      <c r="W1080" s="3">
        <f>V1080/S1080</f>
        <v>6.2380952380952381</v>
      </c>
      <c r="X1080" s="3">
        <f>V1080/U1080</f>
        <v>65.5</v>
      </c>
      <c r="Y1080" s="4">
        <f>S1080*6/U1080</f>
        <v>63</v>
      </c>
      <c r="Z1080" s="2">
        <v>1</v>
      </c>
      <c r="AA1080" s="2">
        <v>0</v>
      </c>
      <c r="AB1080" s="2">
        <v>0</v>
      </c>
      <c r="AC1080" s="2">
        <v>1</v>
      </c>
    </row>
    <row r="1081" spans="1:29" x14ac:dyDescent="0.35">
      <c r="A1081" s="1" t="s">
        <v>1074</v>
      </c>
      <c r="B1081" s="1" t="s">
        <v>24</v>
      </c>
      <c r="C1081">
        <f>D1081+E1081+F1081+G1081+H1081+I1081</f>
        <v>3</v>
      </c>
      <c r="D1081" s="2">
        <v>0</v>
      </c>
      <c r="E1081" s="2">
        <v>0</v>
      </c>
      <c r="F1081" s="2">
        <v>0</v>
      </c>
      <c r="G1081" s="2">
        <v>0</v>
      </c>
      <c r="H1081" s="2">
        <v>3</v>
      </c>
      <c r="I1081" s="2">
        <v>0</v>
      </c>
      <c r="J1081" s="2">
        <v>3</v>
      </c>
      <c r="K1081">
        <f>J1081+L1081</f>
        <v>3</v>
      </c>
      <c r="L1081" s="2">
        <v>0</v>
      </c>
      <c r="M1081" s="2">
        <v>0</v>
      </c>
      <c r="N1081" s="2">
        <v>33</v>
      </c>
      <c r="O1081" s="3">
        <f>N1081/J1081</f>
        <v>11</v>
      </c>
      <c r="P1081" s="2">
        <v>0</v>
      </c>
      <c r="Q1081" s="2">
        <v>0</v>
      </c>
      <c r="R1081" s="2">
        <v>22</v>
      </c>
      <c r="S1081" s="2">
        <v>0</v>
      </c>
      <c r="T1081" s="2">
        <v>0</v>
      </c>
      <c r="U1081" s="2">
        <v>0</v>
      </c>
      <c r="V1081" s="2">
        <v>0</v>
      </c>
      <c r="W1081" s="3" t="e">
        <f>V1081/S1081</f>
        <v>#DIV/0!</v>
      </c>
      <c r="X1081" s="3" t="e">
        <f>V1081/U1081</f>
        <v>#DIV/0!</v>
      </c>
      <c r="Y1081" s="4" t="e">
        <f>S1081*6/U1081</f>
        <v>#DIV/0!</v>
      </c>
      <c r="Z1081" s="2">
        <v>0</v>
      </c>
      <c r="AA1081" s="2">
        <v>0</v>
      </c>
      <c r="AB1081" s="2">
        <v>0</v>
      </c>
      <c r="AC1081" s="2">
        <v>0</v>
      </c>
    </row>
    <row r="1082" spans="1:29" x14ac:dyDescent="0.35">
      <c r="A1082" s="1" t="s">
        <v>1076</v>
      </c>
      <c r="B1082" s="1" t="s">
        <v>130</v>
      </c>
      <c r="C1082">
        <f>D1082+E1082+F1082+G1082+H1082+I1082</f>
        <v>2</v>
      </c>
      <c r="D1082" s="2">
        <v>0</v>
      </c>
      <c r="E1082" s="2">
        <v>0</v>
      </c>
      <c r="F1082" s="2">
        <v>0</v>
      </c>
      <c r="G1082" s="2">
        <v>0</v>
      </c>
      <c r="H1082" s="2">
        <v>0</v>
      </c>
      <c r="I1082" s="2">
        <v>2</v>
      </c>
      <c r="J1082" s="2">
        <v>0</v>
      </c>
      <c r="K1082">
        <f>J1082+L1082</f>
        <v>1</v>
      </c>
      <c r="L1082" s="2">
        <v>1</v>
      </c>
      <c r="M1082" s="2">
        <v>1</v>
      </c>
      <c r="N1082" s="2">
        <v>0</v>
      </c>
      <c r="O1082" s="3" t="e">
        <f>N1082/J1082</f>
        <v>#DIV/0!</v>
      </c>
      <c r="P1082" s="2">
        <v>0</v>
      </c>
      <c r="Q1082" s="2">
        <v>0</v>
      </c>
      <c r="R1082" s="2">
        <v>0</v>
      </c>
      <c r="S1082" s="2">
        <v>1</v>
      </c>
      <c r="T1082" s="2">
        <v>0</v>
      </c>
      <c r="U1082" s="2">
        <v>0</v>
      </c>
      <c r="V1082" s="2">
        <v>9</v>
      </c>
      <c r="W1082" s="3">
        <f>V1082/S1082</f>
        <v>9</v>
      </c>
      <c r="X1082" s="3" t="e">
        <f>V1082/U1082</f>
        <v>#DIV/0!</v>
      </c>
      <c r="Y1082" s="4" t="e">
        <f>S1082*6/U1082</f>
        <v>#DIV/0!</v>
      </c>
      <c r="Z1082" s="2">
        <v>0</v>
      </c>
      <c r="AA1082" s="2">
        <v>0</v>
      </c>
      <c r="AB1082" s="2">
        <v>0</v>
      </c>
      <c r="AC1082" s="2">
        <v>0</v>
      </c>
    </row>
    <row r="1083" spans="1:29" x14ac:dyDescent="0.35">
      <c r="A1083" s="1" t="s">
        <v>1077</v>
      </c>
      <c r="B1083" s="1" t="s">
        <v>362</v>
      </c>
      <c r="C1083">
        <f>D1083+E1083+F1083+G1083+H1083+I1083</f>
        <v>30</v>
      </c>
      <c r="D1083" s="2">
        <v>0</v>
      </c>
      <c r="E1083" s="2">
        <v>0</v>
      </c>
      <c r="F1083" s="2">
        <v>2</v>
      </c>
      <c r="G1083" s="2">
        <v>0</v>
      </c>
      <c r="H1083" s="2">
        <v>0</v>
      </c>
      <c r="I1083" s="2">
        <v>28</v>
      </c>
      <c r="J1083" s="2">
        <v>5</v>
      </c>
      <c r="K1083">
        <f>J1083+L1083</f>
        <v>19</v>
      </c>
      <c r="L1083" s="2">
        <v>14</v>
      </c>
      <c r="M1083" s="2">
        <v>12</v>
      </c>
      <c r="N1083" s="2">
        <v>40</v>
      </c>
      <c r="O1083" s="3">
        <f>N1083/J1083</f>
        <v>8</v>
      </c>
      <c r="P1083" s="2">
        <v>0</v>
      </c>
      <c r="Q1083" s="2">
        <v>0</v>
      </c>
      <c r="R1083" s="2">
        <v>9</v>
      </c>
      <c r="S1083" s="2">
        <v>291</v>
      </c>
      <c r="T1083" s="2">
        <v>56</v>
      </c>
      <c r="U1083" s="2">
        <v>42</v>
      </c>
      <c r="V1083" s="2">
        <v>899</v>
      </c>
      <c r="W1083" s="3">
        <f>V1083/S1083</f>
        <v>3.0893470790378008</v>
      </c>
      <c r="X1083" s="3">
        <f>V1083/U1083</f>
        <v>21.404761904761905</v>
      </c>
      <c r="Y1083" s="4">
        <f>S1083*6/U1083</f>
        <v>41.571428571428569</v>
      </c>
      <c r="Z1083" s="2">
        <v>5</v>
      </c>
      <c r="AA1083" s="2">
        <v>2</v>
      </c>
      <c r="AB1083" s="2">
        <v>0</v>
      </c>
      <c r="AC1083" s="2">
        <v>2</v>
      </c>
    </row>
    <row r="1084" spans="1:29" x14ac:dyDescent="0.35">
      <c r="A1084" s="1" t="s">
        <v>1078</v>
      </c>
      <c r="B1084" s="1" t="s">
        <v>452</v>
      </c>
      <c r="C1084">
        <f>D1084+E1084+F1084+G1084+H1084+I1084</f>
        <v>97</v>
      </c>
      <c r="D1084" s="2">
        <v>16</v>
      </c>
      <c r="E1084" s="2">
        <v>21</v>
      </c>
      <c r="F1084" s="2">
        <v>6</v>
      </c>
      <c r="G1084" s="2">
        <v>19</v>
      </c>
      <c r="H1084" s="2">
        <v>27</v>
      </c>
      <c r="I1084" s="2">
        <v>8</v>
      </c>
      <c r="J1084" s="2">
        <v>54</v>
      </c>
      <c r="K1084">
        <f>J1084+L1084</f>
        <v>76</v>
      </c>
      <c r="L1084" s="2">
        <v>22</v>
      </c>
      <c r="M1084" s="2">
        <v>28</v>
      </c>
      <c r="N1084" s="2">
        <v>1373</v>
      </c>
      <c r="O1084" s="3">
        <f>N1084/J1084</f>
        <v>25.425925925925927</v>
      </c>
      <c r="P1084" s="2">
        <v>4</v>
      </c>
      <c r="Q1084" s="2">
        <v>1</v>
      </c>
      <c r="R1084" s="2">
        <v>110</v>
      </c>
      <c r="S1084" s="2">
        <v>712</v>
      </c>
      <c r="T1084" s="2">
        <v>163</v>
      </c>
      <c r="U1084" s="2">
        <v>127</v>
      </c>
      <c r="V1084" s="2">
        <v>2148</v>
      </c>
      <c r="W1084" s="3">
        <f>V1084/S1084</f>
        <v>3.0168539325842696</v>
      </c>
      <c r="X1084" s="3">
        <f>V1084/U1084</f>
        <v>16.913385826771652</v>
      </c>
      <c r="Y1084" s="4">
        <f>S1084*6/U1084</f>
        <v>33.637795275590548</v>
      </c>
      <c r="Z1084" s="2">
        <v>5</v>
      </c>
      <c r="AA1084" s="2">
        <v>2</v>
      </c>
      <c r="AB1084" s="2">
        <v>0</v>
      </c>
      <c r="AC1084" s="2">
        <v>18</v>
      </c>
    </row>
    <row r="1085" spans="1:29" x14ac:dyDescent="0.35">
      <c r="A1085" s="1" t="s">
        <v>1078</v>
      </c>
      <c r="B1085" s="1" t="s">
        <v>727</v>
      </c>
      <c r="C1085">
        <f>D1085+E1085+F1085+G1085+H1085+I1085</f>
        <v>54</v>
      </c>
      <c r="D1085" s="2">
        <v>0</v>
      </c>
      <c r="E1085" s="2">
        <v>0</v>
      </c>
      <c r="F1085" s="2">
        <v>2</v>
      </c>
      <c r="G1085" s="2">
        <v>2</v>
      </c>
      <c r="H1085" s="2">
        <v>50</v>
      </c>
      <c r="I1085" s="2">
        <v>0</v>
      </c>
      <c r="J1085" s="2">
        <v>23</v>
      </c>
      <c r="K1085">
        <f>J1085+L1085</f>
        <v>31</v>
      </c>
      <c r="L1085" s="2">
        <v>8</v>
      </c>
      <c r="M1085" s="2">
        <v>23</v>
      </c>
      <c r="N1085" s="2">
        <v>388</v>
      </c>
      <c r="O1085" s="3">
        <f>N1085/J1085</f>
        <v>16.869565217391305</v>
      </c>
      <c r="P1085" s="2">
        <v>1</v>
      </c>
      <c r="Q1085" s="2">
        <v>0</v>
      </c>
      <c r="R1085" s="2">
        <v>54</v>
      </c>
      <c r="S1085" s="2">
        <v>15</v>
      </c>
      <c r="T1085" s="2">
        <v>0</v>
      </c>
      <c r="U1085" s="2">
        <v>2</v>
      </c>
      <c r="V1085" s="2">
        <v>73</v>
      </c>
      <c r="W1085" s="3">
        <f>V1085/S1085</f>
        <v>4.8666666666666663</v>
      </c>
      <c r="X1085" s="3">
        <f>V1085/U1085</f>
        <v>36.5</v>
      </c>
      <c r="Y1085" s="4">
        <f>S1085*6/U1085</f>
        <v>45</v>
      </c>
      <c r="Z1085" s="2">
        <v>1</v>
      </c>
      <c r="AA1085" s="2">
        <v>0</v>
      </c>
      <c r="AB1085" s="2">
        <v>0</v>
      </c>
      <c r="AC1085" s="2">
        <v>14</v>
      </c>
    </row>
    <row r="1086" spans="1:29" x14ac:dyDescent="0.35">
      <c r="A1086" s="1" t="s">
        <v>1079</v>
      </c>
      <c r="B1086" s="1" t="s">
        <v>1080</v>
      </c>
      <c r="C1086">
        <f>D1086+E1086+F1086+G1086+H1086+I1086</f>
        <v>3</v>
      </c>
      <c r="D1086" s="2">
        <v>0</v>
      </c>
      <c r="E1086" s="2">
        <v>0</v>
      </c>
      <c r="F1086" s="2">
        <v>2</v>
      </c>
      <c r="G1086" s="2">
        <v>1</v>
      </c>
      <c r="H1086" s="2">
        <v>0</v>
      </c>
      <c r="I1086" s="2">
        <v>0</v>
      </c>
      <c r="J1086" s="2">
        <v>3</v>
      </c>
      <c r="K1086">
        <f>J1086+L1086</f>
        <v>3</v>
      </c>
      <c r="L1086" s="2">
        <v>0</v>
      </c>
      <c r="M1086" s="2">
        <v>0</v>
      </c>
      <c r="N1086" s="2">
        <v>53</v>
      </c>
      <c r="O1086" s="3">
        <f>N1086/J1086</f>
        <v>17.666666666666668</v>
      </c>
      <c r="P1086" s="2">
        <v>0</v>
      </c>
      <c r="Q1086" s="2">
        <v>0</v>
      </c>
      <c r="R1086" s="2">
        <v>40</v>
      </c>
      <c r="S1086" s="2">
        <v>13</v>
      </c>
      <c r="T1086" s="2">
        <v>0</v>
      </c>
      <c r="U1086" s="2">
        <v>1</v>
      </c>
      <c r="V1086" s="2">
        <v>50</v>
      </c>
      <c r="W1086" s="3">
        <f>V1086/S1086</f>
        <v>3.8461538461538463</v>
      </c>
      <c r="X1086" s="3">
        <f>V1086/U1086</f>
        <v>50</v>
      </c>
      <c r="Y1086" s="4">
        <f>S1086*6/U1086</f>
        <v>78</v>
      </c>
      <c r="Z1086" s="2">
        <v>1</v>
      </c>
      <c r="AA1086" s="2">
        <v>0</v>
      </c>
      <c r="AB1086" s="2">
        <v>0</v>
      </c>
      <c r="AC1086" s="2">
        <v>0</v>
      </c>
    </row>
    <row r="1087" spans="1:29" x14ac:dyDescent="0.35">
      <c r="A1087" s="1" t="s">
        <v>1081</v>
      </c>
      <c r="B1087" s="1" t="s">
        <v>242</v>
      </c>
      <c r="C1087">
        <f>D1087+E1087+F1087+G1087+H1087+I1087</f>
        <v>2</v>
      </c>
      <c r="D1087" s="2">
        <v>0</v>
      </c>
      <c r="E1087" s="2">
        <v>0</v>
      </c>
      <c r="F1087" s="2">
        <v>0</v>
      </c>
      <c r="G1087" s="2">
        <v>0</v>
      </c>
      <c r="H1087" s="2">
        <v>2</v>
      </c>
      <c r="I1087" s="2">
        <v>0</v>
      </c>
      <c r="J1087" s="2">
        <v>3</v>
      </c>
      <c r="K1087">
        <f>J1087+L1087</f>
        <v>3</v>
      </c>
      <c r="L1087" s="2">
        <v>0</v>
      </c>
      <c r="M1087" s="2">
        <v>0</v>
      </c>
      <c r="N1087" s="2">
        <v>4</v>
      </c>
      <c r="O1087" s="3">
        <f>N1087/J1087</f>
        <v>1.3333333333333333</v>
      </c>
      <c r="P1087" s="2">
        <v>0</v>
      </c>
      <c r="Q1087" s="2">
        <v>0</v>
      </c>
      <c r="R1087" s="2">
        <v>2</v>
      </c>
      <c r="S1087" s="2">
        <v>2</v>
      </c>
      <c r="T1087" s="2">
        <v>0</v>
      </c>
      <c r="U1087" s="2">
        <v>0</v>
      </c>
      <c r="V1087" s="2">
        <v>24</v>
      </c>
      <c r="W1087" s="3">
        <f>V1087/S1087</f>
        <v>12</v>
      </c>
      <c r="X1087" s="3" t="e">
        <f>V1087/U1087</f>
        <v>#DIV/0!</v>
      </c>
      <c r="Y1087" s="4" t="e">
        <f>S1087*6/U1087</f>
        <v>#DIV/0!</v>
      </c>
      <c r="Z1087" s="2">
        <v>0</v>
      </c>
      <c r="AA1087" s="2">
        <v>0</v>
      </c>
      <c r="AB1087" s="2">
        <v>0</v>
      </c>
      <c r="AC1087" s="2">
        <v>0</v>
      </c>
    </row>
    <row r="1088" spans="1:29" x14ac:dyDescent="0.35">
      <c r="A1088" s="1" t="s">
        <v>1082</v>
      </c>
      <c r="B1088" s="1" t="s">
        <v>1083</v>
      </c>
      <c r="C1088">
        <f>D1088+E1088+F1088+G1088+H1088+I1088</f>
        <v>3</v>
      </c>
      <c r="D1088" s="2">
        <v>0</v>
      </c>
      <c r="E1088" s="2">
        <v>2</v>
      </c>
      <c r="F1088" s="2">
        <v>0</v>
      </c>
      <c r="G1088" s="2">
        <v>1</v>
      </c>
      <c r="H1088" s="2">
        <v>0</v>
      </c>
      <c r="I1088" s="2">
        <v>0</v>
      </c>
      <c r="J1088" s="2">
        <v>2</v>
      </c>
      <c r="K1088">
        <f>J1088+L1088</f>
        <v>2</v>
      </c>
      <c r="L1088" s="2">
        <v>0</v>
      </c>
      <c r="M1088" s="2">
        <v>1</v>
      </c>
      <c r="N1088" s="2">
        <v>12</v>
      </c>
      <c r="O1088" s="3">
        <f>N1088/J1088</f>
        <v>6</v>
      </c>
      <c r="P1088" s="2">
        <v>0</v>
      </c>
      <c r="Q1088" s="2">
        <v>0</v>
      </c>
      <c r="R1088" s="2">
        <v>6</v>
      </c>
      <c r="S1088" s="2">
        <v>2</v>
      </c>
      <c r="T1088" s="2">
        <v>0</v>
      </c>
      <c r="U1088" s="2">
        <v>0</v>
      </c>
      <c r="V1088" s="2">
        <v>21</v>
      </c>
      <c r="W1088" s="3">
        <f>V1088/S1088</f>
        <v>10.5</v>
      </c>
      <c r="X1088" s="3" t="e">
        <f>V1088/U1088</f>
        <v>#DIV/0!</v>
      </c>
      <c r="Y1088" s="4" t="e">
        <f>S1088*6/U1088</f>
        <v>#DIV/0!</v>
      </c>
      <c r="Z1088" s="2">
        <v>0</v>
      </c>
      <c r="AA1088" s="2">
        <v>0</v>
      </c>
      <c r="AB1088" s="2">
        <v>0</v>
      </c>
      <c r="AC1088" s="2">
        <v>0</v>
      </c>
    </row>
    <row r="1089" spans="1:29" x14ac:dyDescent="0.35">
      <c r="A1089" s="7" t="s">
        <v>1084</v>
      </c>
      <c r="B1089" s="7" t="s">
        <v>229</v>
      </c>
      <c r="C1089">
        <f>D1089+E1089+F1089+G1089+H1089+I1089</f>
        <v>52</v>
      </c>
      <c r="D1089" s="40">
        <v>0</v>
      </c>
      <c r="E1089" s="40">
        <v>0</v>
      </c>
      <c r="F1089" s="40">
        <v>2</v>
      </c>
      <c r="G1089" s="40">
        <v>41</v>
      </c>
      <c r="H1089" s="40">
        <v>9</v>
      </c>
      <c r="I1089" s="40">
        <v>0</v>
      </c>
      <c r="J1089" s="40">
        <v>43</v>
      </c>
      <c r="K1089">
        <f>J1089+L1089</f>
        <v>49</v>
      </c>
      <c r="L1089" s="40">
        <v>6</v>
      </c>
      <c r="M1089" s="40">
        <v>5</v>
      </c>
      <c r="N1089" s="40">
        <v>908</v>
      </c>
      <c r="O1089" s="3">
        <f>N1089/J1089</f>
        <v>21.11627906976744</v>
      </c>
      <c r="P1089" s="40">
        <v>3</v>
      </c>
      <c r="Q1089" s="40">
        <v>0</v>
      </c>
      <c r="R1089" s="40">
        <v>89</v>
      </c>
      <c r="S1089" s="40">
        <v>145</v>
      </c>
      <c r="T1089" s="40">
        <v>14</v>
      </c>
      <c r="U1089" s="40">
        <v>33</v>
      </c>
      <c r="V1089" s="40">
        <v>693</v>
      </c>
      <c r="W1089" s="3">
        <f>V1089/S1089</f>
        <v>4.7793103448275858</v>
      </c>
      <c r="X1089" s="3">
        <f>V1089/U1089</f>
        <v>21</v>
      </c>
      <c r="Y1089" s="4">
        <f>S1089*6/U1089</f>
        <v>26.363636363636363</v>
      </c>
      <c r="Z1089" s="40">
        <v>4</v>
      </c>
      <c r="AA1089" s="40">
        <v>0</v>
      </c>
      <c r="AB1089" s="40">
        <v>0</v>
      </c>
      <c r="AC1089" s="40">
        <v>34</v>
      </c>
    </row>
    <row r="1090" spans="1:29" x14ac:dyDescent="0.35">
      <c r="A1090" s="15" t="s">
        <v>1084</v>
      </c>
      <c r="B1090" s="15" t="s">
        <v>176</v>
      </c>
      <c r="C1090" s="18">
        <f>D1090+E1090+F1090+G1090+H1090+I1090</f>
        <v>154</v>
      </c>
      <c r="D1090" s="16">
        <v>72</v>
      </c>
      <c r="E1090" s="16">
        <v>64</v>
      </c>
      <c r="F1090" s="16">
        <v>5</v>
      </c>
      <c r="G1090" s="16">
        <v>11</v>
      </c>
      <c r="H1090" s="16">
        <v>1</v>
      </c>
      <c r="I1090" s="16">
        <v>1</v>
      </c>
      <c r="J1090" s="16">
        <v>107</v>
      </c>
      <c r="K1090" s="18">
        <f>J1090+L1090</f>
        <v>127</v>
      </c>
      <c r="L1090" s="16">
        <v>20</v>
      </c>
      <c r="M1090" s="16">
        <v>43</v>
      </c>
      <c r="N1090" s="16">
        <f>1444+35</f>
        <v>1479</v>
      </c>
      <c r="O1090" s="19">
        <f>N1090/J1090</f>
        <v>13.822429906542055</v>
      </c>
      <c r="P1090" s="16">
        <v>3</v>
      </c>
      <c r="Q1090" s="16">
        <v>0</v>
      </c>
      <c r="R1090" s="16">
        <v>71</v>
      </c>
      <c r="S1090" s="16">
        <f>1319.5+25</f>
        <v>1344.5</v>
      </c>
      <c r="T1090" s="16">
        <v>269</v>
      </c>
      <c r="U1090" s="16">
        <v>183</v>
      </c>
      <c r="V1090" s="16">
        <f>4032+62</f>
        <v>4094</v>
      </c>
      <c r="W1090" s="19">
        <f>V1090/S1090</f>
        <v>3.0449981405727038</v>
      </c>
      <c r="X1090" s="19">
        <f>V1090/U1090</f>
        <v>22.371584699453553</v>
      </c>
      <c r="Y1090" s="20">
        <f>S1090*6/U1090</f>
        <v>44.081967213114751</v>
      </c>
      <c r="Z1090" s="28" t="s">
        <v>1405</v>
      </c>
      <c r="AA1090" s="16">
        <v>2</v>
      </c>
      <c r="AB1090" s="16">
        <v>0</v>
      </c>
      <c r="AC1090" s="16">
        <v>18</v>
      </c>
    </row>
    <row r="1091" spans="1:29" x14ac:dyDescent="0.35">
      <c r="A1091" s="15" t="s">
        <v>1084</v>
      </c>
      <c r="B1091" s="15" t="s">
        <v>567</v>
      </c>
      <c r="C1091" s="18">
        <f>D1091+E1091+F1091+G1091+H1091+I1091</f>
        <v>5</v>
      </c>
      <c r="D1091" s="22">
        <v>0</v>
      </c>
      <c r="E1091" s="22">
        <v>0</v>
      </c>
      <c r="F1091" s="22">
        <v>1</v>
      </c>
      <c r="G1091" s="22">
        <v>4</v>
      </c>
      <c r="H1091" s="22">
        <v>0</v>
      </c>
      <c r="I1091" s="22">
        <v>0</v>
      </c>
      <c r="J1091" s="22">
        <v>3</v>
      </c>
      <c r="K1091" s="18">
        <f>J1091+L1091</f>
        <v>4</v>
      </c>
      <c r="L1091" s="22">
        <v>1</v>
      </c>
      <c r="M1091" s="22">
        <v>1</v>
      </c>
      <c r="N1091" s="22">
        <v>26</v>
      </c>
      <c r="O1091" s="19">
        <f>N1091/J1091</f>
        <v>8.6666666666666661</v>
      </c>
      <c r="P1091" s="22">
        <v>0</v>
      </c>
      <c r="Q1091" s="22">
        <v>0</v>
      </c>
      <c r="R1091" s="22">
        <v>9</v>
      </c>
      <c r="S1091" s="22">
        <f>5.2+21</f>
        <v>26.2</v>
      </c>
      <c r="T1091" s="22">
        <v>2</v>
      </c>
      <c r="U1091" s="22">
        <v>7</v>
      </c>
      <c r="V1091" s="22">
        <v>130</v>
      </c>
      <c r="W1091" s="19">
        <f>V1091/S1091</f>
        <v>4.9618320610687023</v>
      </c>
      <c r="X1091" s="19">
        <f>V1091/U1091</f>
        <v>18.571428571428573</v>
      </c>
      <c r="Y1091" s="19">
        <f>S1091*6/U1091</f>
        <v>22.457142857142856</v>
      </c>
      <c r="Z1091" s="22" t="s">
        <v>1315</v>
      </c>
      <c r="AA1091" s="22">
        <v>0</v>
      </c>
      <c r="AB1091" s="22">
        <v>0</v>
      </c>
      <c r="AC1091" s="22">
        <v>3</v>
      </c>
    </row>
    <row r="1092" spans="1:29" x14ac:dyDescent="0.35">
      <c r="A1092" s="1" t="s">
        <v>1084</v>
      </c>
      <c r="B1092" s="1" t="s">
        <v>319</v>
      </c>
      <c r="C1092">
        <f>D1092+E1092+F1092+G1092+H1092+I1092</f>
        <v>11</v>
      </c>
      <c r="D1092" s="2">
        <v>0</v>
      </c>
      <c r="E1092" s="2">
        <v>0</v>
      </c>
      <c r="F1092" s="2">
        <v>0</v>
      </c>
      <c r="G1092" s="2">
        <v>2</v>
      </c>
      <c r="H1092" s="2">
        <v>9</v>
      </c>
      <c r="I1092" s="2">
        <v>0</v>
      </c>
      <c r="J1092" s="2">
        <v>12</v>
      </c>
      <c r="K1092">
        <f>J1092+L1092</f>
        <v>12</v>
      </c>
      <c r="L1092" s="2">
        <v>0</v>
      </c>
      <c r="M1092" s="2">
        <v>1</v>
      </c>
      <c r="N1092" s="2">
        <v>331</v>
      </c>
      <c r="O1092" s="3">
        <f>N1092/J1092</f>
        <v>27.583333333333332</v>
      </c>
      <c r="P1092" s="2">
        <v>2</v>
      </c>
      <c r="Q1092" s="2">
        <v>1</v>
      </c>
      <c r="R1092" s="2">
        <v>111</v>
      </c>
      <c r="S1092" s="2">
        <v>118</v>
      </c>
      <c r="T1092" s="2">
        <v>21</v>
      </c>
      <c r="U1092" s="2">
        <v>13</v>
      </c>
      <c r="V1092" s="2">
        <v>368</v>
      </c>
      <c r="W1092" s="3">
        <f>V1092/S1092</f>
        <v>3.1186440677966103</v>
      </c>
      <c r="X1092" s="3">
        <f>V1092/U1092</f>
        <v>28.307692307692307</v>
      </c>
      <c r="Y1092" s="4">
        <f>S1092*6/U1092</f>
        <v>54.46153846153846</v>
      </c>
      <c r="Z1092" s="2">
        <v>3</v>
      </c>
      <c r="AA1092" s="2">
        <v>0</v>
      </c>
      <c r="AB1092" s="2">
        <v>0</v>
      </c>
      <c r="AC1092" s="2">
        <v>2</v>
      </c>
    </row>
    <row r="1093" spans="1:29" x14ac:dyDescent="0.35">
      <c r="A1093" s="1" t="s">
        <v>1084</v>
      </c>
      <c r="B1093" s="1" t="s">
        <v>420</v>
      </c>
      <c r="C1093">
        <f>D1093+E1093+F1093+G1093+H1093+I1093</f>
        <v>2</v>
      </c>
      <c r="D1093" s="2">
        <v>0</v>
      </c>
      <c r="E1093" s="2">
        <v>0</v>
      </c>
      <c r="F1093" s="2">
        <v>0</v>
      </c>
      <c r="G1093" s="2">
        <v>2</v>
      </c>
      <c r="H1093" s="2">
        <v>0</v>
      </c>
      <c r="I1093" s="2">
        <v>0</v>
      </c>
      <c r="J1093" s="2">
        <v>1</v>
      </c>
      <c r="K1093">
        <f>J1093+L1093</f>
        <v>1</v>
      </c>
      <c r="L1093" s="2">
        <v>0</v>
      </c>
      <c r="M1093" s="2">
        <v>1</v>
      </c>
      <c r="N1093" s="2">
        <v>0</v>
      </c>
      <c r="O1093" s="3">
        <f>N1093/J1093</f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>
        <v>0</v>
      </c>
      <c r="V1093" s="2">
        <v>0</v>
      </c>
      <c r="W1093" s="3" t="e">
        <f>V1093/S1093</f>
        <v>#DIV/0!</v>
      </c>
      <c r="X1093" s="3" t="e">
        <f>V1093/U1093</f>
        <v>#DIV/0!</v>
      </c>
      <c r="Y1093" s="4" t="e">
        <f>S1093*6/U1093</f>
        <v>#DIV/0!</v>
      </c>
      <c r="Z1093" s="2">
        <v>0</v>
      </c>
      <c r="AA1093" s="2">
        <v>0</v>
      </c>
      <c r="AB1093" s="2">
        <v>0</v>
      </c>
      <c r="AC1093" s="2">
        <v>1</v>
      </c>
    </row>
    <row r="1094" spans="1:29" x14ac:dyDescent="0.35">
      <c r="A1094" s="1" t="s">
        <v>1085</v>
      </c>
      <c r="B1094" s="1" t="s">
        <v>453</v>
      </c>
      <c r="C1094">
        <f>D1094+E1094+F1094+G1094+H1094+I1094</f>
        <v>9</v>
      </c>
      <c r="D1094" s="2">
        <v>0</v>
      </c>
      <c r="E1094" s="2">
        <v>1</v>
      </c>
      <c r="F1094" s="2">
        <v>8</v>
      </c>
      <c r="G1094" s="2">
        <v>0</v>
      </c>
      <c r="H1094" s="2">
        <v>0</v>
      </c>
      <c r="I1094" s="2">
        <v>0</v>
      </c>
      <c r="J1094" s="2">
        <v>11</v>
      </c>
      <c r="K1094">
        <f>J1094+L1094</f>
        <v>13</v>
      </c>
      <c r="L1094" s="2">
        <v>2</v>
      </c>
      <c r="M1094" s="2">
        <v>3</v>
      </c>
      <c r="N1094" s="2">
        <v>116</v>
      </c>
      <c r="O1094" s="3">
        <f>N1094/J1094</f>
        <v>10.545454545454545</v>
      </c>
      <c r="P1094" s="2">
        <v>0</v>
      </c>
      <c r="Q1094" s="2">
        <v>0</v>
      </c>
      <c r="R1094" s="2">
        <v>27</v>
      </c>
      <c r="S1094" s="2">
        <v>83</v>
      </c>
      <c r="T1094" s="2">
        <v>12</v>
      </c>
      <c r="U1094" s="2">
        <v>21</v>
      </c>
      <c r="V1094" s="2">
        <v>291</v>
      </c>
      <c r="W1094" s="3">
        <f>V1094/S1094</f>
        <v>3.5060240963855422</v>
      </c>
      <c r="X1094" s="3">
        <f>V1094/U1094</f>
        <v>13.857142857142858</v>
      </c>
      <c r="Y1094" s="4">
        <f>S1094*6/U1094</f>
        <v>23.714285714285715</v>
      </c>
      <c r="Z1094" s="2">
        <v>6</v>
      </c>
      <c r="AA1094" s="2">
        <v>1</v>
      </c>
      <c r="AB1094" s="2">
        <v>0</v>
      </c>
      <c r="AC1094" s="2">
        <v>1</v>
      </c>
    </row>
  </sheetData>
  <sortState xmlns:xlrd2="http://schemas.microsoft.com/office/spreadsheetml/2017/richdata2" ref="A2:AC1094">
    <sortCondition ref="A2:A109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FA8A-750A-4168-8AC8-E4F68DC7A423}">
  <dimension ref="A1:AC53"/>
  <sheetViews>
    <sheetView workbookViewId="0">
      <selection activeCell="D15" sqref="D15"/>
    </sheetView>
  </sheetViews>
  <sheetFormatPr defaultRowHeight="14.5" x14ac:dyDescent="0.35"/>
  <cols>
    <col min="1" max="1" width="17.7265625" bestFit="1" customWidth="1"/>
    <col min="2" max="2" width="11.453125" bestFit="1" customWidth="1"/>
    <col min="3" max="4" width="12.453125" bestFit="1" customWidth="1"/>
    <col min="5" max="5" width="9" customWidth="1"/>
    <col min="6" max="6" width="12.36328125" bestFit="1" customWidth="1"/>
    <col min="7" max="7" width="12.7265625" bestFit="1" customWidth="1"/>
    <col min="8" max="8" width="11.7265625" bestFit="1" customWidth="1"/>
    <col min="9" max="9" width="12.36328125" bestFit="1" customWidth="1"/>
    <col min="10" max="11" width="9.54296875" bestFit="1" customWidth="1"/>
    <col min="12" max="12" width="13.7265625" bestFit="1" customWidth="1"/>
    <col min="13" max="13" width="12" bestFit="1" customWidth="1"/>
    <col min="14" max="14" width="9.54296875" bestFit="1" customWidth="1"/>
    <col min="15" max="16" width="11.90625" bestFit="1" customWidth="1"/>
    <col min="17" max="17" width="13.7265625" bestFit="1" customWidth="1"/>
    <col min="18" max="18" width="12" bestFit="1" customWidth="1"/>
    <col min="19" max="19" width="11.90625" bestFit="1" customWidth="1"/>
    <col min="21" max="21" width="11.90625" bestFit="1" customWidth="1"/>
    <col min="22" max="22" width="11.453125" bestFit="1" customWidth="1"/>
    <col min="23" max="23" width="7.36328125" bestFit="1" customWidth="1"/>
    <col min="24" max="24" width="11.90625" bestFit="1" customWidth="1"/>
  </cols>
  <sheetData>
    <row r="1" spans="1:29" x14ac:dyDescent="0.35">
      <c r="A1" t="s">
        <v>1302</v>
      </c>
      <c r="F1" t="s">
        <v>1305</v>
      </c>
      <c r="K1" t="s">
        <v>1203</v>
      </c>
      <c r="P1" t="s">
        <v>1306</v>
      </c>
      <c r="U1" t="s">
        <v>1307</v>
      </c>
    </row>
    <row r="3" spans="1:29" x14ac:dyDescent="0.35">
      <c r="B3" t="s">
        <v>1303</v>
      </c>
      <c r="D3" t="s">
        <v>1304</v>
      </c>
      <c r="G3" t="s">
        <v>1303</v>
      </c>
      <c r="I3" t="s">
        <v>1305</v>
      </c>
      <c r="L3" t="s">
        <v>1303</v>
      </c>
      <c r="N3" t="s">
        <v>1203</v>
      </c>
      <c r="Q3" t="s">
        <v>1303</v>
      </c>
      <c r="S3" t="s">
        <v>1306</v>
      </c>
      <c r="V3" t="s">
        <v>1303</v>
      </c>
      <c r="X3" t="s">
        <v>1307</v>
      </c>
    </row>
    <row r="4" spans="1:29" x14ac:dyDescent="0.35">
      <c r="A4">
        <v>1</v>
      </c>
      <c r="B4" s="15" t="s">
        <v>736</v>
      </c>
      <c r="C4" s="15" t="s">
        <v>97</v>
      </c>
      <c r="D4" s="18">
        <v>280</v>
      </c>
      <c r="F4">
        <v>1</v>
      </c>
      <c r="G4" s="1" t="s">
        <v>280</v>
      </c>
      <c r="H4" s="1" t="s">
        <v>281</v>
      </c>
      <c r="I4" s="2">
        <v>216</v>
      </c>
      <c r="K4">
        <v>1</v>
      </c>
      <c r="L4" s="1" t="s">
        <v>280</v>
      </c>
      <c r="M4" s="1" t="s">
        <v>41</v>
      </c>
      <c r="N4" s="2">
        <v>5548</v>
      </c>
      <c r="P4">
        <v>1</v>
      </c>
      <c r="Q4" s="15" t="s">
        <v>736</v>
      </c>
      <c r="R4" s="15" t="s">
        <v>97</v>
      </c>
      <c r="S4" s="16">
        <v>512</v>
      </c>
      <c r="U4">
        <v>1</v>
      </c>
      <c r="V4" s="1" t="s">
        <v>714</v>
      </c>
      <c r="W4" s="1" t="s">
        <v>265</v>
      </c>
      <c r="X4">
        <v>131</v>
      </c>
      <c r="AB4" s="1"/>
      <c r="AC4" s="1"/>
    </row>
    <row r="5" spans="1:29" x14ac:dyDescent="0.35">
      <c r="A5">
        <v>2</v>
      </c>
      <c r="B5" s="1" t="s">
        <v>280</v>
      </c>
      <c r="C5" s="1" t="s">
        <v>281</v>
      </c>
      <c r="D5">
        <v>259</v>
      </c>
      <c r="F5">
        <v>2</v>
      </c>
      <c r="G5" s="1" t="s">
        <v>280</v>
      </c>
      <c r="H5" s="1" t="s">
        <v>41</v>
      </c>
      <c r="I5" s="2">
        <v>202</v>
      </c>
      <c r="K5">
        <v>2</v>
      </c>
      <c r="L5" s="1" t="s">
        <v>402</v>
      </c>
      <c r="M5" s="1" t="s">
        <v>24</v>
      </c>
      <c r="N5" s="2">
        <v>5074</v>
      </c>
      <c r="P5">
        <v>2</v>
      </c>
      <c r="Q5" s="1" t="s">
        <v>166</v>
      </c>
      <c r="R5" s="1" t="s">
        <v>165</v>
      </c>
      <c r="S5" s="2">
        <v>290</v>
      </c>
      <c r="U5">
        <v>2</v>
      </c>
      <c r="V5" s="1" t="s">
        <v>977</v>
      </c>
      <c r="W5" s="1" t="s">
        <v>149</v>
      </c>
      <c r="X5">
        <v>126</v>
      </c>
      <c r="AB5" s="1"/>
      <c r="AC5" s="1"/>
    </row>
    <row r="6" spans="1:29" x14ac:dyDescent="0.35">
      <c r="A6">
        <v>3</v>
      </c>
      <c r="B6" s="15" t="s">
        <v>337</v>
      </c>
      <c r="C6" s="15" t="s">
        <v>94</v>
      </c>
      <c r="D6" s="18">
        <v>252</v>
      </c>
      <c r="F6">
        <v>3</v>
      </c>
      <c r="G6" s="1" t="s">
        <v>402</v>
      </c>
      <c r="H6" s="1" t="s">
        <v>24</v>
      </c>
      <c r="I6" s="2">
        <v>162</v>
      </c>
      <c r="K6">
        <v>3</v>
      </c>
      <c r="L6" s="1" t="s">
        <v>530</v>
      </c>
      <c r="M6" s="1" t="s">
        <v>208</v>
      </c>
      <c r="N6" s="2">
        <v>4808</v>
      </c>
      <c r="P6">
        <v>3</v>
      </c>
      <c r="Q6" s="1" t="s">
        <v>143</v>
      </c>
      <c r="R6" s="1" t="s">
        <v>144</v>
      </c>
      <c r="S6" s="2">
        <v>275</v>
      </c>
      <c r="U6">
        <v>3</v>
      </c>
      <c r="V6" s="1" t="s">
        <v>33</v>
      </c>
      <c r="W6" s="1" t="s">
        <v>35</v>
      </c>
      <c r="X6">
        <v>98</v>
      </c>
      <c r="AB6" s="1"/>
      <c r="AC6" s="1"/>
    </row>
    <row r="7" spans="1:29" x14ac:dyDescent="0.35">
      <c r="A7">
        <v>4</v>
      </c>
      <c r="B7" s="25" t="s">
        <v>280</v>
      </c>
      <c r="C7" s="25" t="s">
        <v>41</v>
      </c>
      <c r="D7">
        <v>249</v>
      </c>
      <c r="F7">
        <v>4</v>
      </c>
      <c r="G7" s="24" t="s">
        <v>736</v>
      </c>
      <c r="H7" s="24" t="s">
        <v>97</v>
      </c>
      <c r="I7" s="27">
        <v>156</v>
      </c>
      <c r="K7">
        <v>4</v>
      </c>
      <c r="L7" s="25" t="s">
        <v>27</v>
      </c>
      <c r="M7" s="25" t="s">
        <v>28</v>
      </c>
      <c r="N7" s="6">
        <v>4351</v>
      </c>
      <c r="P7">
        <v>4</v>
      </c>
      <c r="Q7" s="25" t="s">
        <v>221</v>
      </c>
      <c r="R7" s="25" t="s">
        <v>222</v>
      </c>
      <c r="S7" s="6">
        <v>269</v>
      </c>
      <c r="U7">
        <v>4</v>
      </c>
      <c r="V7" s="25" t="s">
        <v>496</v>
      </c>
      <c r="W7" s="25" t="s">
        <v>87</v>
      </c>
      <c r="X7">
        <v>92</v>
      </c>
      <c r="AB7" s="25"/>
      <c r="AC7" s="25"/>
    </row>
    <row r="8" spans="1:29" x14ac:dyDescent="0.35">
      <c r="A8">
        <v>5</v>
      </c>
      <c r="B8" s="25" t="s">
        <v>143</v>
      </c>
      <c r="C8" s="25" t="s">
        <v>144</v>
      </c>
      <c r="D8">
        <v>204</v>
      </c>
      <c r="F8">
        <v>5</v>
      </c>
      <c r="G8" s="24" t="s">
        <v>538</v>
      </c>
      <c r="H8" s="24" t="s">
        <v>539</v>
      </c>
      <c r="I8" s="27">
        <f>126+13</f>
        <v>139</v>
      </c>
      <c r="K8">
        <v>5</v>
      </c>
      <c r="L8" s="25" t="s">
        <v>497</v>
      </c>
      <c r="M8" s="25" t="s">
        <v>498</v>
      </c>
      <c r="N8" s="6">
        <v>4320</v>
      </c>
      <c r="P8">
        <v>5</v>
      </c>
      <c r="Q8" s="24" t="s">
        <v>337</v>
      </c>
      <c r="R8" s="24" t="s">
        <v>94</v>
      </c>
      <c r="S8" s="27">
        <v>263</v>
      </c>
      <c r="U8">
        <v>5</v>
      </c>
      <c r="V8" s="25" t="s">
        <v>280</v>
      </c>
      <c r="W8" s="25" t="s">
        <v>41</v>
      </c>
      <c r="X8">
        <v>91</v>
      </c>
      <c r="AB8" s="25"/>
      <c r="AC8" s="25"/>
    </row>
    <row r="9" spans="1:29" x14ac:dyDescent="0.35">
      <c r="A9">
        <v>6</v>
      </c>
      <c r="B9" s="1" t="s">
        <v>796</v>
      </c>
      <c r="C9" s="1" t="s">
        <v>134</v>
      </c>
      <c r="D9">
        <v>202</v>
      </c>
      <c r="F9">
        <v>6</v>
      </c>
      <c r="G9" s="1" t="s">
        <v>27</v>
      </c>
      <c r="H9" s="1" t="s">
        <v>28</v>
      </c>
      <c r="I9" s="2">
        <v>138</v>
      </c>
      <c r="K9">
        <v>6</v>
      </c>
      <c r="L9" s="15" t="s">
        <v>337</v>
      </c>
      <c r="M9" s="15" t="s">
        <v>94</v>
      </c>
      <c r="N9" s="16">
        <v>3980</v>
      </c>
      <c r="P9">
        <v>6</v>
      </c>
      <c r="Q9" s="1" t="s">
        <v>257</v>
      </c>
      <c r="R9" s="1" t="s">
        <v>165</v>
      </c>
      <c r="S9" s="2">
        <v>242</v>
      </c>
      <c r="U9">
        <v>6</v>
      </c>
      <c r="V9" s="1" t="s">
        <v>280</v>
      </c>
      <c r="W9" s="1" t="s">
        <v>281</v>
      </c>
      <c r="X9" s="2">
        <v>90</v>
      </c>
      <c r="AB9" s="1"/>
      <c r="AC9" s="1"/>
    </row>
    <row r="10" spans="1:29" x14ac:dyDescent="0.35">
      <c r="A10">
        <v>7</v>
      </c>
      <c r="B10" s="1" t="s">
        <v>1064</v>
      </c>
      <c r="C10" s="1" t="s">
        <v>1066</v>
      </c>
      <c r="D10">
        <v>191</v>
      </c>
      <c r="F10">
        <v>7</v>
      </c>
      <c r="G10" s="1" t="s">
        <v>166</v>
      </c>
      <c r="H10" s="1" t="s">
        <v>165</v>
      </c>
      <c r="I10" s="2">
        <v>134</v>
      </c>
      <c r="K10">
        <v>7</v>
      </c>
      <c r="L10" s="1" t="s">
        <v>280</v>
      </c>
      <c r="M10" s="1" t="s">
        <v>281</v>
      </c>
      <c r="N10" s="2">
        <v>3914</v>
      </c>
      <c r="P10">
        <v>7</v>
      </c>
      <c r="Q10" s="1" t="s">
        <v>280</v>
      </c>
      <c r="R10" s="1" t="s">
        <v>41</v>
      </c>
      <c r="S10" s="2">
        <v>218</v>
      </c>
      <c r="U10">
        <v>7</v>
      </c>
      <c r="V10" s="15" t="s">
        <v>996</v>
      </c>
      <c r="W10" s="15" t="s">
        <v>561</v>
      </c>
      <c r="X10" s="16">
        <v>85</v>
      </c>
      <c r="AB10" s="1"/>
      <c r="AC10" s="1"/>
    </row>
    <row r="11" spans="1:29" x14ac:dyDescent="0.35">
      <c r="A11">
        <v>8</v>
      </c>
      <c r="B11" s="1" t="s">
        <v>635</v>
      </c>
      <c r="C11" s="1" t="s">
        <v>42</v>
      </c>
      <c r="D11">
        <v>179</v>
      </c>
      <c r="F11">
        <v>8</v>
      </c>
      <c r="G11" s="1" t="s">
        <v>1064</v>
      </c>
      <c r="H11" s="1" t="s">
        <v>1065</v>
      </c>
      <c r="I11" s="2">
        <v>105</v>
      </c>
      <c r="K11">
        <v>8</v>
      </c>
      <c r="L11" s="1" t="s">
        <v>27</v>
      </c>
      <c r="M11" s="1" t="s">
        <v>31</v>
      </c>
      <c r="N11" s="2">
        <v>3897</v>
      </c>
      <c r="P11">
        <v>8</v>
      </c>
      <c r="Q11" s="1" t="s">
        <v>162</v>
      </c>
      <c r="R11" s="1" t="s">
        <v>163</v>
      </c>
      <c r="S11" s="2">
        <v>204</v>
      </c>
      <c r="U11">
        <v>8</v>
      </c>
      <c r="V11" s="15" t="s">
        <v>337</v>
      </c>
      <c r="W11" s="15" t="s">
        <v>94</v>
      </c>
      <c r="X11" s="16">
        <v>75</v>
      </c>
      <c r="AB11" s="1"/>
      <c r="AC11" s="1"/>
    </row>
    <row r="12" spans="1:29" x14ac:dyDescent="0.35">
      <c r="A12">
        <v>9</v>
      </c>
      <c r="B12" s="1" t="s">
        <v>530</v>
      </c>
      <c r="C12" s="1" t="s">
        <v>208</v>
      </c>
      <c r="D12">
        <v>178</v>
      </c>
      <c r="F12">
        <v>9</v>
      </c>
      <c r="G12" s="1" t="s">
        <v>977</v>
      </c>
      <c r="H12" s="1" t="s">
        <v>149</v>
      </c>
      <c r="I12" s="2">
        <v>87</v>
      </c>
      <c r="K12">
        <v>9</v>
      </c>
      <c r="L12" s="25" t="s">
        <v>751</v>
      </c>
      <c r="M12" s="25" t="s">
        <v>752</v>
      </c>
      <c r="N12" s="2">
        <v>3629</v>
      </c>
      <c r="P12">
        <v>9</v>
      </c>
      <c r="Q12" s="24" t="s">
        <v>538</v>
      </c>
      <c r="R12" s="24" t="s">
        <v>539</v>
      </c>
      <c r="S12" s="16">
        <v>202</v>
      </c>
      <c r="U12">
        <v>9</v>
      </c>
      <c r="V12" s="24" t="s">
        <v>538</v>
      </c>
      <c r="W12" s="24" t="s">
        <v>539</v>
      </c>
      <c r="X12" s="16">
        <v>73</v>
      </c>
      <c r="AB12" s="1"/>
      <c r="AC12" s="1"/>
    </row>
    <row r="13" spans="1:29" x14ac:dyDescent="0.35">
      <c r="A13">
        <v>10</v>
      </c>
      <c r="B13" s="15" t="s">
        <v>538</v>
      </c>
      <c r="C13" s="15" t="s">
        <v>539</v>
      </c>
      <c r="D13" s="18">
        <v>176</v>
      </c>
      <c r="F13">
        <v>10</v>
      </c>
      <c r="G13" s="1" t="s">
        <v>469</v>
      </c>
      <c r="H13" s="1" t="s">
        <v>146</v>
      </c>
      <c r="I13" s="2">
        <v>75</v>
      </c>
      <c r="K13">
        <v>10</v>
      </c>
      <c r="L13" s="1" t="s">
        <v>197</v>
      </c>
      <c r="M13" s="1" t="s">
        <v>144</v>
      </c>
      <c r="N13" s="2">
        <v>3487</v>
      </c>
      <c r="P13">
        <v>10</v>
      </c>
      <c r="Q13" s="1" t="s">
        <v>640</v>
      </c>
      <c r="R13" s="1" t="s">
        <v>24</v>
      </c>
      <c r="S13" s="2">
        <v>192</v>
      </c>
      <c r="U13">
        <v>10</v>
      </c>
      <c r="V13" s="1" t="s">
        <v>402</v>
      </c>
      <c r="W13" s="1" t="s">
        <v>24</v>
      </c>
      <c r="X13" s="2">
        <v>72</v>
      </c>
      <c r="AB13" s="1"/>
      <c r="AC13" s="1"/>
    </row>
    <row r="14" spans="1:29" x14ac:dyDescent="0.35">
      <c r="A14">
        <v>11</v>
      </c>
      <c r="B14" s="1" t="s">
        <v>257</v>
      </c>
      <c r="C14" s="1" t="s">
        <v>165</v>
      </c>
      <c r="D14">
        <v>165</v>
      </c>
      <c r="F14">
        <v>11</v>
      </c>
      <c r="G14" s="15" t="s">
        <v>337</v>
      </c>
      <c r="H14" s="15" t="s">
        <v>94</v>
      </c>
      <c r="I14" s="16">
        <v>74</v>
      </c>
      <c r="K14">
        <v>11</v>
      </c>
      <c r="L14" s="1" t="s">
        <v>758</v>
      </c>
      <c r="M14" s="1" t="s">
        <v>760</v>
      </c>
      <c r="N14" s="2">
        <v>3471</v>
      </c>
      <c r="P14">
        <v>11</v>
      </c>
      <c r="Q14" s="15" t="s">
        <v>1084</v>
      </c>
      <c r="R14" s="15" t="s">
        <v>176</v>
      </c>
      <c r="S14" s="16">
        <v>183</v>
      </c>
      <c r="U14">
        <v>11</v>
      </c>
      <c r="V14" s="15" t="s">
        <v>736</v>
      </c>
      <c r="W14" s="15" t="s">
        <v>97</v>
      </c>
      <c r="X14" s="16">
        <v>71</v>
      </c>
      <c r="AB14" s="1"/>
      <c r="AC14" s="1"/>
    </row>
    <row r="15" spans="1:29" x14ac:dyDescent="0.35">
      <c r="A15">
        <v>12</v>
      </c>
      <c r="B15" s="1" t="s">
        <v>497</v>
      </c>
      <c r="C15" s="1" t="s">
        <v>498</v>
      </c>
      <c r="D15">
        <v>164</v>
      </c>
      <c r="F15">
        <v>12</v>
      </c>
      <c r="G15" s="1" t="s">
        <v>758</v>
      </c>
      <c r="H15" s="1" t="s">
        <v>760</v>
      </c>
      <c r="I15" s="2">
        <v>73</v>
      </c>
      <c r="K15">
        <v>12</v>
      </c>
      <c r="L15" s="1" t="s">
        <v>115</v>
      </c>
      <c r="M15" s="1" t="s">
        <v>116</v>
      </c>
      <c r="N15" s="2">
        <v>3395</v>
      </c>
      <c r="P15">
        <v>12</v>
      </c>
      <c r="Q15" s="1" t="s">
        <v>723</v>
      </c>
      <c r="R15" s="1" t="s">
        <v>16</v>
      </c>
      <c r="S15" s="2">
        <v>182</v>
      </c>
      <c r="U15">
        <v>12</v>
      </c>
      <c r="V15" s="1" t="s">
        <v>751</v>
      </c>
      <c r="W15" s="1" t="s">
        <v>752</v>
      </c>
      <c r="X15" s="2">
        <v>69</v>
      </c>
      <c r="AB15" s="1"/>
      <c r="AC15" s="1"/>
    </row>
    <row r="16" spans="1:29" x14ac:dyDescent="0.35">
      <c r="A16">
        <v>13</v>
      </c>
      <c r="B16" s="1" t="s">
        <v>27</v>
      </c>
      <c r="C16" s="1" t="s">
        <v>31</v>
      </c>
      <c r="D16">
        <v>163</v>
      </c>
      <c r="F16">
        <v>13</v>
      </c>
      <c r="G16" s="15" t="s">
        <v>1084</v>
      </c>
      <c r="H16" s="15" t="s">
        <v>176</v>
      </c>
      <c r="I16" s="16">
        <v>72</v>
      </c>
      <c r="K16">
        <v>13</v>
      </c>
      <c r="L16" s="1" t="s">
        <v>714</v>
      </c>
      <c r="M16" s="1" t="s">
        <v>265</v>
      </c>
      <c r="N16" s="2">
        <v>2901</v>
      </c>
      <c r="P16">
        <v>13</v>
      </c>
      <c r="Q16" s="1" t="s">
        <v>115</v>
      </c>
      <c r="R16" s="1" t="s">
        <v>116</v>
      </c>
      <c r="S16" s="2">
        <v>170</v>
      </c>
      <c r="U16">
        <v>13</v>
      </c>
      <c r="V16" s="1" t="s">
        <v>197</v>
      </c>
      <c r="W16" s="1" t="s">
        <v>144</v>
      </c>
      <c r="X16" s="2">
        <v>66</v>
      </c>
      <c r="AB16" s="1"/>
      <c r="AC16" s="1"/>
    </row>
    <row r="17" spans="1:29" x14ac:dyDescent="0.35">
      <c r="A17">
        <v>14</v>
      </c>
      <c r="B17" s="1" t="s">
        <v>402</v>
      </c>
      <c r="C17" s="1" t="s">
        <v>24</v>
      </c>
      <c r="D17">
        <v>163</v>
      </c>
      <c r="F17">
        <v>14</v>
      </c>
      <c r="G17" s="1" t="s">
        <v>257</v>
      </c>
      <c r="H17" s="1" t="s">
        <v>165</v>
      </c>
      <c r="I17" s="2">
        <v>70</v>
      </c>
      <c r="K17">
        <v>14</v>
      </c>
      <c r="L17" s="1" t="s">
        <v>1013</v>
      </c>
      <c r="M17" s="1" t="s">
        <v>124</v>
      </c>
      <c r="N17" s="2">
        <v>2897</v>
      </c>
      <c r="P17">
        <v>14</v>
      </c>
      <c r="Q17" s="1" t="s">
        <v>938</v>
      </c>
      <c r="R17" s="1" t="s">
        <v>939</v>
      </c>
      <c r="S17" s="2">
        <v>162</v>
      </c>
      <c r="U17">
        <v>14</v>
      </c>
      <c r="V17" s="1" t="s">
        <v>497</v>
      </c>
      <c r="W17" s="1" t="s">
        <v>498</v>
      </c>
      <c r="X17" s="2">
        <v>65</v>
      </c>
      <c r="AB17" s="1"/>
      <c r="AC17" s="1"/>
    </row>
    <row r="18" spans="1:29" x14ac:dyDescent="0.35">
      <c r="A18">
        <v>15</v>
      </c>
      <c r="B18" s="1" t="s">
        <v>758</v>
      </c>
      <c r="C18" s="1" t="s">
        <v>760</v>
      </c>
      <c r="D18">
        <v>159</v>
      </c>
      <c r="F18">
        <v>15</v>
      </c>
      <c r="G18" s="1" t="s">
        <v>635</v>
      </c>
      <c r="H18" s="1" t="s">
        <v>42</v>
      </c>
      <c r="I18" s="2">
        <v>70</v>
      </c>
      <c r="K18">
        <v>15</v>
      </c>
      <c r="L18" s="15" t="s">
        <v>996</v>
      </c>
      <c r="M18" s="15" t="s">
        <v>561</v>
      </c>
      <c r="N18" s="16">
        <v>2886</v>
      </c>
      <c r="P18">
        <v>15</v>
      </c>
      <c r="Q18" s="1" t="s">
        <v>636</v>
      </c>
      <c r="R18" s="1" t="s">
        <v>342</v>
      </c>
      <c r="S18" s="2">
        <v>153</v>
      </c>
      <c r="U18">
        <v>15</v>
      </c>
      <c r="V18" s="1" t="s">
        <v>1064</v>
      </c>
      <c r="W18" s="1" t="s">
        <v>1066</v>
      </c>
      <c r="X18" s="2">
        <v>64</v>
      </c>
      <c r="AB18" s="1"/>
      <c r="AC18" s="1"/>
    </row>
    <row r="19" spans="1:29" x14ac:dyDescent="0.35">
      <c r="A19">
        <v>16</v>
      </c>
      <c r="B19" s="1" t="s">
        <v>27</v>
      </c>
      <c r="C19" s="1" t="s">
        <v>28</v>
      </c>
      <c r="D19">
        <v>158</v>
      </c>
      <c r="F19">
        <v>16</v>
      </c>
      <c r="G19" s="1" t="s">
        <v>496</v>
      </c>
      <c r="H19" s="1" t="s">
        <v>87</v>
      </c>
      <c r="I19" s="2">
        <v>62</v>
      </c>
      <c r="K19">
        <v>16</v>
      </c>
      <c r="L19" s="1" t="s">
        <v>915</v>
      </c>
      <c r="M19" s="1" t="s">
        <v>94</v>
      </c>
      <c r="N19" s="2">
        <v>2843</v>
      </c>
      <c r="P19">
        <v>16</v>
      </c>
      <c r="Q19" s="1" t="s">
        <v>635</v>
      </c>
      <c r="R19" s="1" t="s">
        <v>42</v>
      </c>
      <c r="S19" s="2">
        <v>152</v>
      </c>
      <c r="U19">
        <v>16</v>
      </c>
      <c r="V19" s="1" t="s">
        <v>758</v>
      </c>
      <c r="W19" s="1" t="s">
        <v>760</v>
      </c>
      <c r="X19" s="2">
        <v>56</v>
      </c>
      <c r="AB19" s="1"/>
      <c r="AC19" s="1"/>
    </row>
    <row r="20" spans="1:29" x14ac:dyDescent="0.35">
      <c r="A20">
        <v>17</v>
      </c>
      <c r="B20" s="15" t="s">
        <v>1084</v>
      </c>
      <c r="C20" s="15" t="s">
        <v>176</v>
      </c>
      <c r="D20" s="18">
        <v>154</v>
      </c>
      <c r="F20">
        <v>17</v>
      </c>
      <c r="G20" s="1" t="s">
        <v>260</v>
      </c>
      <c r="H20" s="1" t="s">
        <v>452</v>
      </c>
      <c r="I20" s="2">
        <v>60</v>
      </c>
      <c r="K20">
        <v>17</v>
      </c>
      <c r="L20" s="1" t="s">
        <v>107</v>
      </c>
      <c r="M20" s="1" t="s">
        <v>108</v>
      </c>
      <c r="N20" s="2">
        <v>2768</v>
      </c>
      <c r="P20">
        <v>17</v>
      </c>
      <c r="Q20" s="1" t="s">
        <v>845</v>
      </c>
      <c r="R20" s="1" t="s">
        <v>846</v>
      </c>
      <c r="S20" s="2">
        <v>142</v>
      </c>
      <c r="U20">
        <v>17</v>
      </c>
      <c r="V20" s="1" t="s">
        <v>123</v>
      </c>
      <c r="W20" s="1" t="s">
        <v>125</v>
      </c>
      <c r="X20" s="2">
        <v>56</v>
      </c>
      <c r="AB20" s="1"/>
      <c r="AC20" s="1"/>
    </row>
    <row r="21" spans="1:29" x14ac:dyDescent="0.35">
      <c r="A21">
        <v>18</v>
      </c>
      <c r="B21" s="1" t="s">
        <v>713</v>
      </c>
      <c r="C21" s="1" t="s">
        <v>176</v>
      </c>
      <c r="D21">
        <v>148</v>
      </c>
      <c r="F21">
        <v>18</v>
      </c>
      <c r="G21" s="1" t="s">
        <v>469</v>
      </c>
      <c r="H21" s="1" t="s">
        <v>639</v>
      </c>
      <c r="I21" s="2">
        <v>57</v>
      </c>
      <c r="K21">
        <v>18</v>
      </c>
      <c r="L21" s="1" t="s">
        <v>635</v>
      </c>
      <c r="M21" s="1" t="s">
        <v>42</v>
      </c>
      <c r="N21" s="2">
        <v>2722</v>
      </c>
      <c r="P21">
        <v>18</v>
      </c>
      <c r="Q21" s="1" t="s">
        <v>1016</v>
      </c>
      <c r="R21" s="1" t="s">
        <v>1308</v>
      </c>
      <c r="S21" s="2">
        <v>139</v>
      </c>
      <c r="U21">
        <v>18</v>
      </c>
      <c r="V21" s="1" t="s">
        <v>143</v>
      </c>
      <c r="W21" s="1" t="s">
        <v>144</v>
      </c>
      <c r="X21" s="2">
        <v>55</v>
      </c>
      <c r="AB21" s="1"/>
      <c r="AC21" s="1"/>
    </row>
    <row r="22" spans="1:29" x14ac:dyDescent="0.35">
      <c r="A22">
        <v>19</v>
      </c>
      <c r="B22" s="1" t="s">
        <v>115</v>
      </c>
      <c r="C22" s="1" t="s">
        <v>116</v>
      </c>
      <c r="D22">
        <v>144</v>
      </c>
      <c r="F22">
        <v>19</v>
      </c>
      <c r="G22" s="1" t="s">
        <v>640</v>
      </c>
      <c r="H22" s="1" t="s">
        <v>24</v>
      </c>
      <c r="I22" s="2">
        <v>54</v>
      </c>
      <c r="K22">
        <v>19</v>
      </c>
      <c r="L22" s="15" t="s">
        <v>607</v>
      </c>
      <c r="M22" s="15" t="s">
        <v>353</v>
      </c>
      <c r="N22" s="16">
        <v>2613</v>
      </c>
      <c r="P22">
        <v>19</v>
      </c>
      <c r="Q22" s="1" t="s">
        <v>280</v>
      </c>
      <c r="R22" s="1" t="s">
        <v>281</v>
      </c>
      <c r="S22" s="2">
        <v>136</v>
      </c>
      <c r="U22">
        <v>19</v>
      </c>
      <c r="V22" s="1" t="s">
        <v>27</v>
      </c>
      <c r="W22" s="1" t="s">
        <v>28</v>
      </c>
      <c r="X22" s="2">
        <v>55</v>
      </c>
      <c r="AB22" s="1"/>
      <c r="AC22" s="1"/>
    </row>
    <row r="23" spans="1:29" x14ac:dyDescent="0.35">
      <c r="A23">
        <v>20</v>
      </c>
      <c r="B23" s="15" t="s">
        <v>200</v>
      </c>
      <c r="C23" s="15" t="s">
        <v>201</v>
      </c>
      <c r="D23" s="18">
        <v>139</v>
      </c>
      <c r="F23">
        <v>20</v>
      </c>
      <c r="G23" s="1" t="s">
        <v>331</v>
      </c>
      <c r="H23" s="1" t="s">
        <v>332</v>
      </c>
      <c r="I23" s="2">
        <v>53</v>
      </c>
      <c r="K23">
        <v>20</v>
      </c>
      <c r="L23" s="1" t="s">
        <v>713</v>
      </c>
      <c r="M23" s="1" t="s">
        <v>176</v>
      </c>
      <c r="N23" s="2">
        <v>2485</v>
      </c>
      <c r="P23">
        <v>20</v>
      </c>
      <c r="Q23" s="1" t="s">
        <v>713</v>
      </c>
      <c r="R23" s="1" t="s">
        <v>176</v>
      </c>
      <c r="S23" s="2">
        <v>134</v>
      </c>
      <c r="U23">
        <v>20</v>
      </c>
      <c r="V23" s="1" t="s">
        <v>1013</v>
      </c>
      <c r="W23" s="1" t="s">
        <v>124</v>
      </c>
      <c r="X23" s="2">
        <v>52</v>
      </c>
      <c r="AB23" s="1"/>
      <c r="AC23" s="1"/>
    </row>
    <row r="24" spans="1:29" x14ac:dyDescent="0.35">
      <c r="A24">
        <v>21</v>
      </c>
      <c r="B24" s="15" t="s">
        <v>996</v>
      </c>
      <c r="C24" s="15" t="s">
        <v>561</v>
      </c>
      <c r="D24" s="18">
        <v>137</v>
      </c>
      <c r="F24">
        <v>21</v>
      </c>
      <c r="G24" s="1" t="s">
        <v>746</v>
      </c>
      <c r="H24" s="1" t="s">
        <v>77</v>
      </c>
      <c r="I24" s="2">
        <v>52</v>
      </c>
      <c r="K24">
        <v>21</v>
      </c>
      <c r="L24" s="1" t="s">
        <v>166</v>
      </c>
      <c r="M24" s="1" t="s">
        <v>165</v>
      </c>
      <c r="N24" s="2">
        <v>2468</v>
      </c>
      <c r="P24">
        <v>21</v>
      </c>
      <c r="Q24" s="1" t="s">
        <v>338</v>
      </c>
      <c r="R24" s="1" t="s">
        <v>212</v>
      </c>
      <c r="S24" s="2">
        <v>133</v>
      </c>
      <c r="U24">
        <v>21</v>
      </c>
      <c r="V24" s="1" t="s">
        <v>668</v>
      </c>
      <c r="W24" s="1" t="s">
        <v>124</v>
      </c>
      <c r="X24" s="2">
        <v>51</v>
      </c>
      <c r="AB24" s="1"/>
      <c r="AC24" s="1"/>
    </row>
    <row r="25" spans="1:29" x14ac:dyDescent="0.35">
      <c r="A25">
        <v>22</v>
      </c>
      <c r="B25" s="1" t="s">
        <v>166</v>
      </c>
      <c r="C25" s="1" t="s">
        <v>165</v>
      </c>
      <c r="D25">
        <v>136</v>
      </c>
      <c r="F25">
        <v>22</v>
      </c>
      <c r="G25" s="1" t="s">
        <v>33</v>
      </c>
      <c r="H25" s="1" t="s">
        <v>35</v>
      </c>
      <c r="I25" s="2">
        <v>51</v>
      </c>
      <c r="K25">
        <v>22</v>
      </c>
      <c r="L25" s="15" t="s">
        <v>497</v>
      </c>
      <c r="M25" s="15" t="s">
        <v>190</v>
      </c>
      <c r="N25" s="16">
        <v>2462</v>
      </c>
      <c r="P25">
        <v>22</v>
      </c>
      <c r="Q25" s="1" t="s">
        <v>1015</v>
      </c>
      <c r="R25" s="1" t="s">
        <v>83</v>
      </c>
      <c r="S25" s="2">
        <v>132</v>
      </c>
      <c r="U25">
        <v>22</v>
      </c>
      <c r="V25" s="1" t="s">
        <v>530</v>
      </c>
      <c r="W25" s="1" t="s">
        <v>208</v>
      </c>
      <c r="X25" s="2">
        <v>50</v>
      </c>
      <c r="AB25" s="1"/>
      <c r="AC25" s="1"/>
    </row>
    <row r="26" spans="1:29" x14ac:dyDescent="0.35">
      <c r="A26">
        <v>23</v>
      </c>
      <c r="B26" s="1" t="s">
        <v>162</v>
      </c>
      <c r="C26" s="1" t="s">
        <v>163</v>
      </c>
      <c r="D26">
        <v>134</v>
      </c>
      <c r="F26">
        <v>23</v>
      </c>
      <c r="G26" s="15" t="s">
        <v>497</v>
      </c>
      <c r="H26" s="15" t="s">
        <v>190</v>
      </c>
      <c r="I26" s="16">
        <v>51</v>
      </c>
      <c r="K26">
        <v>23</v>
      </c>
      <c r="L26" s="15" t="s">
        <v>200</v>
      </c>
      <c r="M26" s="15" t="s">
        <v>201</v>
      </c>
      <c r="N26" s="16">
        <v>2401</v>
      </c>
      <c r="P26">
        <v>23</v>
      </c>
      <c r="Q26" s="1" t="s">
        <v>1078</v>
      </c>
      <c r="R26" s="1" t="s">
        <v>452</v>
      </c>
      <c r="S26" s="2">
        <v>127</v>
      </c>
      <c r="U26">
        <v>23</v>
      </c>
      <c r="V26" s="1" t="s">
        <v>972</v>
      </c>
      <c r="W26" s="1" t="s">
        <v>71</v>
      </c>
      <c r="X26" s="2">
        <v>50</v>
      </c>
      <c r="AB26" s="1"/>
      <c r="AC26" s="1"/>
    </row>
    <row r="27" spans="1:29" x14ac:dyDescent="0.35">
      <c r="A27">
        <v>24</v>
      </c>
      <c r="B27" s="25" t="s">
        <v>1064</v>
      </c>
      <c r="C27" s="25" t="s">
        <v>1065</v>
      </c>
      <c r="D27">
        <v>130</v>
      </c>
      <c r="F27">
        <v>24</v>
      </c>
      <c r="G27" s="25" t="s">
        <v>27</v>
      </c>
      <c r="H27" s="25" t="s">
        <v>20</v>
      </c>
      <c r="I27" s="5">
        <v>50</v>
      </c>
      <c r="K27">
        <v>24</v>
      </c>
      <c r="L27" s="1" t="s">
        <v>82</v>
      </c>
      <c r="M27" s="1" t="s">
        <v>83</v>
      </c>
      <c r="N27" s="6">
        <v>2352</v>
      </c>
      <c r="P27">
        <v>24</v>
      </c>
      <c r="Q27" s="1" t="s">
        <v>322</v>
      </c>
      <c r="R27" s="1" t="s">
        <v>323</v>
      </c>
      <c r="S27" s="6">
        <v>127</v>
      </c>
      <c r="U27">
        <v>24</v>
      </c>
      <c r="V27" s="1" t="s">
        <v>128</v>
      </c>
      <c r="W27" s="1" t="s">
        <v>85</v>
      </c>
      <c r="X27" s="6">
        <v>48</v>
      </c>
      <c r="AB27" s="25"/>
      <c r="AC27" s="25"/>
    </row>
    <row r="28" spans="1:29" x14ac:dyDescent="0.35">
      <c r="A28">
        <v>25</v>
      </c>
      <c r="B28" s="1" t="s">
        <v>714</v>
      </c>
      <c r="C28" s="1" t="s">
        <v>265</v>
      </c>
      <c r="D28">
        <v>129</v>
      </c>
      <c r="F28">
        <v>25</v>
      </c>
      <c r="G28" s="15" t="s">
        <v>996</v>
      </c>
      <c r="H28" s="15" t="s">
        <v>561</v>
      </c>
      <c r="I28" s="16">
        <v>50</v>
      </c>
      <c r="K28">
        <v>25</v>
      </c>
      <c r="L28" s="25" t="s">
        <v>1064</v>
      </c>
      <c r="M28" s="25" t="s">
        <v>1066</v>
      </c>
      <c r="N28" s="2">
        <v>2253</v>
      </c>
      <c r="P28">
        <v>25</v>
      </c>
      <c r="Q28" s="25" t="s">
        <v>1064</v>
      </c>
      <c r="R28" s="25" t="s">
        <v>1065</v>
      </c>
      <c r="S28" s="2">
        <v>123</v>
      </c>
      <c r="U28">
        <v>25</v>
      </c>
      <c r="V28" s="25" t="s">
        <v>713</v>
      </c>
      <c r="W28" s="25" t="s">
        <v>176</v>
      </c>
      <c r="X28" s="2">
        <v>45</v>
      </c>
      <c r="AB28" s="1"/>
      <c r="AC28" s="1"/>
    </row>
    <row r="29" spans="1:29" x14ac:dyDescent="0.35">
      <c r="A29">
        <v>26</v>
      </c>
      <c r="B29" s="1" t="s">
        <v>107</v>
      </c>
      <c r="C29" s="1" t="s">
        <v>108</v>
      </c>
      <c r="D29">
        <v>124</v>
      </c>
      <c r="F29">
        <v>26</v>
      </c>
      <c r="G29" s="1" t="s">
        <v>27</v>
      </c>
      <c r="H29" s="1" t="s">
        <v>31</v>
      </c>
      <c r="I29" s="2">
        <v>48</v>
      </c>
      <c r="K29">
        <v>26</v>
      </c>
      <c r="L29" s="1" t="s">
        <v>469</v>
      </c>
      <c r="M29" s="1" t="s">
        <v>146</v>
      </c>
      <c r="N29" s="2">
        <v>2134</v>
      </c>
      <c r="P29">
        <v>26</v>
      </c>
      <c r="Q29" s="1" t="s">
        <v>773</v>
      </c>
      <c r="R29" s="1" t="s">
        <v>53</v>
      </c>
      <c r="S29" s="2">
        <v>122</v>
      </c>
      <c r="U29">
        <v>26</v>
      </c>
      <c r="V29" s="15" t="s">
        <v>607</v>
      </c>
      <c r="W29" s="15" t="s">
        <v>353</v>
      </c>
      <c r="X29" s="16">
        <v>45</v>
      </c>
      <c r="AB29" s="1"/>
      <c r="AC29" s="1"/>
    </row>
    <row r="30" spans="1:29" x14ac:dyDescent="0.35">
      <c r="A30">
        <v>27</v>
      </c>
      <c r="B30" s="1" t="s">
        <v>751</v>
      </c>
      <c r="C30" s="1" t="s">
        <v>752</v>
      </c>
      <c r="D30">
        <v>117</v>
      </c>
      <c r="F30">
        <v>27</v>
      </c>
      <c r="G30" s="1" t="s">
        <v>808</v>
      </c>
      <c r="H30" s="1" t="s">
        <v>818</v>
      </c>
      <c r="I30" s="2">
        <v>46</v>
      </c>
      <c r="K30">
        <v>27</v>
      </c>
      <c r="L30" s="22" t="s">
        <v>1254</v>
      </c>
      <c r="M30" s="15" t="s">
        <v>1260</v>
      </c>
      <c r="N30" s="16">
        <v>2002</v>
      </c>
      <c r="P30">
        <v>27</v>
      </c>
      <c r="Q30" s="1" t="s">
        <v>706</v>
      </c>
      <c r="R30" s="1" t="s">
        <v>20</v>
      </c>
      <c r="S30" s="2">
        <v>118</v>
      </c>
      <c r="U30">
        <v>27</v>
      </c>
      <c r="V30" s="1" t="s">
        <v>440</v>
      </c>
      <c r="W30" s="1" t="s">
        <v>441</v>
      </c>
      <c r="X30" s="2">
        <v>44</v>
      </c>
      <c r="AB30" s="1"/>
      <c r="AC30" s="1"/>
    </row>
    <row r="31" spans="1:29" x14ac:dyDescent="0.35">
      <c r="A31">
        <v>28</v>
      </c>
      <c r="B31" s="1" t="s">
        <v>723</v>
      </c>
      <c r="C31" s="1" t="s">
        <v>16</v>
      </c>
      <c r="D31">
        <v>108</v>
      </c>
      <c r="F31">
        <v>28</v>
      </c>
      <c r="G31" s="1" t="s">
        <v>919</v>
      </c>
      <c r="H31" s="1" t="s">
        <v>87</v>
      </c>
      <c r="I31" s="2">
        <v>46</v>
      </c>
      <c r="K31">
        <v>28</v>
      </c>
      <c r="L31" s="15" t="s">
        <v>538</v>
      </c>
      <c r="M31" s="15" t="s">
        <v>539</v>
      </c>
      <c r="N31" s="16">
        <v>1992</v>
      </c>
      <c r="P31">
        <v>28</v>
      </c>
      <c r="Q31" s="1" t="s">
        <v>191</v>
      </c>
      <c r="R31" s="1" t="s">
        <v>31</v>
      </c>
      <c r="S31" s="2">
        <v>112</v>
      </c>
      <c r="U31">
        <v>28</v>
      </c>
      <c r="V31" s="15" t="s">
        <v>1309</v>
      </c>
      <c r="W31" s="15" t="s">
        <v>42</v>
      </c>
      <c r="X31" s="16">
        <v>43</v>
      </c>
      <c r="AB31" s="1"/>
      <c r="AC31" s="1"/>
    </row>
    <row r="32" spans="1:29" x14ac:dyDescent="0.35">
      <c r="A32">
        <v>29</v>
      </c>
      <c r="B32" s="1" t="s">
        <v>469</v>
      </c>
      <c r="C32" s="1" t="s">
        <v>146</v>
      </c>
      <c r="D32">
        <v>107</v>
      </c>
      <c r="F32">
        <v>29</v>
      </c>
      <c r="G32" s="1" t="s">
        <v>271</v>
      </c>
      <c r="H32" s="1" t="s">
        <v>272</v>
      </c>
      <c r="I32" s="2">
        <v>45</v>
      </c>
      <c r="K32">
        <v>29</v>
      </c>
      <c r="L32" s="1" t="s">
        <v>145</v>
      </c>
      <c r="M32" s="1" t="s">
        <v>146</v>
      </c>
      <c r="N32" s="2">
        <v>1964</v>
      </c>
      <c r="P32">
        <v>29</v>
      </c>
      <c r="Q32" s="1" t="s">
        <v>205</v>
      </c>
      <c r="R32" s="1" t="s">
        <v>31</v>
      </c>
      <c r="S32" s="2">
        <v>105</v>
      </c>
      <c r="U32">
        <v>29</v>
      </c>
      <c r="V32" s="1" t="s">
        <v>635</v>
      </c>
      <c r="W32" s="1" t="s">
        <v>42</v>
      </c>
      <c r="X32" s="2">
        <v>42</v>
      </c>
      <c r="AB32" s="1"/>
      <c r="AC32" s="1"/>
    </row>
    <row r="33" spans="1:29" x14ac:dyDescent="0.35">
      <c r="A33">
        <v>30</v>
      </c>
      <c r="B33" s="1" t="s">
        <v>33</v>
      </c>
      <c r="C33" s="1" t="s">
        <v>35</v>
      </c>
      <c r="D33">
        <v>102</v>
      </c>
      <c r="F33">
        <v>30</v>
      </c>
      <c r="G33" s="15" t="s">
        <v>200</v>
      </c>
      <c r="H33" s="15" t="s">
        <v>201</v>
      </c>
      <c r="I33" s="16">
        <v>43</v>
      </c>
      <c r="K33">
        <v>30</v>
      </c>
      <c r="L33" s="1" t="s">
        <v>1064</v>
      </c>
      <c r="M33" s="1" t="s">
        <v>1065</v>
      </c>
      <c r="N33" s="2">
        <v>1934</v>
      </c>
      <c r="P33">
        <v>30</v>
      </c>
      <c r="Q33" s="1" t="s">
        <v>123</v>
      </c>
      <c r="R33" s="1" t="s">
        <v>124</v>
      </c>
      <c r="S33" s="2">
        <v>104</v>
      </c>
      <c r="U33">
        <v>30</v>
      </c>
      <c r="V33" s="15" t="s">
        <v>200</v>
      </c>
      <c r="W33" s="15" t="s">
        <v>201</v>
      </c>
      <c r="X33" s="16">
        <v>42</v>
      </c>
      <c r="AB33" s="1"/>
      <c r="AC33" s="1"/>
    </row>
    <row r="34" spans="1:29" x14ac:dyDescent="0.35">
      <c r="A34">
        <v>31</v>
      </c>
      <c r="B34" s="1" t="s">
        <v>640</v>
      </c>
      <c r="C34" s="1" t="s">
        <v>24</v>
      </c>
      <c r="D34">
        <v>102</v>
      </c>
      <c r="F34">
        <v>31</v>
      </c>
      <c r="G34" s="1" t="s">
        <v>283</v>
      </c>
      <c r="H34" s="1" t="s">
        <v>285</v>
      </c>
      <c r="I34" s="2">
        <v>43</v>
      </c>
      <c r="K34">
        <v>31</v>
      </c>
      <c r="L34" s="1" t="s">
        <v>1015</v>
      </c>
      <c r="M34" s="1" t="s">
        <v>83</v>
      </c>
      <c r="N34" s="2">
        <v>1923</v>
      </c>
      <c r="P34">
        <v>31</v>
      </c>
      <c r="Q34" s="1" t="s">
        <v>589</v>
      </c>
      <c r="R34" s="1" t="s">
        <v>20</v>
      </c>
      <c r="S34" s="2">
        <v>104</v>
      </c>
      <c r="U34">
        <v>31</v>
      </c>
      <c r="V34" s="1" t="s">
        <v>143</v>
      </c>
      <c r="W34" s="1" t="s">
        <v>20</v>
      </c>
      <c r="X34" s="2">
        <v>40</v>
      </c>
      <c r="AB34" s="1"/>
      <c r="AC34" s="1"/>
    </row>
    <row r="35" spans="1:29" x14ac:dyDescent="0.35">
      <c r="A35">
        <v>32</v>
      </c>
      <c r="B35" s="1" t="s">
        <v>1013</v>
      </c>
      <c r="C35" s="1" t="s">
        <v>124</v>
      </c>
      <c r="D35">
        <v>100</v>
      </c>
      <c r="F35">
        <v>32</v>
      </c>
      <c r="G35" s="1" t="s">
        <v>972</v>
      </c>
      <c r="H35" s="1" t="s">
        <v>71</v>
      </c>
      <c r="I35" s="2">
        <v>43</v>
      </c>
      <c r="K35">
        <v>32</v>
      </c>
      <c r="L35" s="1" t="s">
        <v>496</v>
      </c>
      <c r="M35" s="1" t="s">
        <v>87</v>
      </c>
      <c r="N35" s="2">
        <v>1900</v>
      </c>
      <c r="P35">
        <v>32</v>
      </c>
      <c r="Q35" s="1" t="s">
        <v>218</v>
      </c>
      <c r="R35" s="1" t="s">
        <v>219</v>
      </c>
      <c r="S35" s="2">
        <v>100</v>
      </c>
      <c r="U35">
        <v>32</v>
      </c>
      <c r="V35" s="1" t="s">
        <v>394</v>
      </c>
      <c r="W35" s="1" t="s">
        <v>87</v>
      </c>
      <c r="X35" s="2">
        <v>39</v>
      </c>
      <c r="AB35" s="1"/>
      <c r="AC35" s="1"/>
    </row>
    <row r="36" spans="1:29" x14ac:dyDescent="0.35">
      <c r="A36">
        <v>33</v>
      </c>
      <c r="B36" s="25" t="s">
        <v>977</v>
      </c>
      <c r="C36" s="25" t="s">
        <v>149</v>
      </c>
      <c r="D36">
        <v>99</v>
      </c>
      <c r="F36">
        <v>33</v>
      </c>
      <c r="G36" s="25" t="s">
        <v>145</v>
      </c>
      <c r="H36" s="25" t="s">
        <v>146</v>
      </c>
      <c r="I36" s="5">
        <v>42</v>
      </c>
      <c r="K36">
        <v>33</v>
      </c>
      <c r="L36" s="1" t="s">
        <v>796</v>
      </c>
      <c r="M36" s="1" t="s">
        <v>134</v>
      </c>
      <c r="N36" s="5">
        <v>1885</v>
      </c>
      <c r="P36">
        <v>33</v>
      </c>
      <c r="Q36" s="1" t="s">
        <v>919</v>
      </c>
      <c r="R36" s="1" t="s">
        <v>87</v>
      </c>
      <c r="S36" s="6">
        <v>100</v>
      </c>
      <c r="U36">
        <v>33</v>
      </c>
      <c r="V36" s="1" t="s">
        <v>260</v>
      </c>
      <c r="W36" s="1" t="s">
        <v>452</v>
      </c>
      <c r="X36" s="5">
        <v>38</v>
      </c>
      <c r="AB36" s="25"/>
      <c r="AC36" s="25"/>
    </row>
    <row r="37" spans="1:29" x14ac:dyDescent="0.35">
      <c r="A37">
        <v>34</v>
      </c>
      <c r="B37" s="1" t="s">
        <v>145</v>
      </c>
      <c r="C37" s="1" t="s">
        <v>146</v>
      </c>
      <c r="D37">
        <v>98</v>
      </c>
      <c r="F37">
        <v>34</v>
      </c>
      <c r="G37" s="1" t="s">
        <v>808</v>
      </c>
      <c r="H37" s="1" t="s">
        <v>809</v>
      </c>
      <c r="I37" s="2">
        <v>42</v>
      </c>
      <c r="K37">
        <v>34</v>
      </c>
      <c r="L37" s="25" t="s">
        <v>977</v>
      </c>
      <c r="M37" s="25" t="s">
        <v>149</v>
      </c>
      <c r="N37" s="2">
        <v>1881</v>
      </c>
      <c r="P37">
        <v>34</v>
      </c>
      <c r="Q37" s="25" t="s">
        <v>956</v>
      </c>
      <c r="R37" s="25" t="s">
        <v>85</v>
      </c>
      <c r="S37" s="2">
        <v>99</v>
      </c>
      <c r="U37">
        <v>34</v>
      </c>
      <c r="V37" s="25" t="s">
        <v>956</v>
      </c>
      <c r="W37" s="25" t="s">
        <v>85</v>
      </c>
      <c r="X37" s="2">
        <v>37</v>
      </c>
      <c r="AB37" s="1"/>
      <c r="AC37" s="1"/>
    </row>
    <row r="38" spans="1:29" x14ac:dyDescent="0.35">
      <c r="A38">
        <v>35</v>
      </c>
      <c r="B38" s="1" t="s">
        <v>197</v>
      </c>
      <c r="C38" s="1" t="s">
        <v>144</v>
      </c>
      <c r="D38">
        <v>97</v>
      </c>
      <c r="F38">
        <v>35</v>
      </c>
      <c r="G38" s="1" t="s">
        <v>383</v>
      </c>
      <c r="H38" s="1" t="s">
        <v>387</v>
      </c>
      <c r="I38" s="2">
        <v>41</v>
      </c>
      <c r="K38">
        <v>35</v>
      </c>
      <c r="L38" s="1" t="s">
        <v>457</v>
      </c>
      <c r="M38" s="1" t="s">
        <v>190</v>
      </c>
      <c r="N38" s="2">
        <v>1863</v>
      </c>
      <c r="P38">
        <v>35</v>
      </c>
      <c r="Q38" s="1" t="s">
        <v>801</v>
      </c>
      <c r="R38" s="1" t="s">
        <v>16</v>
      </c>
      <c r="S38" s="2">
        <v>96</v>
      </c>
      <c r="U38">
        <v>35</v>
      </c>
      <c r="V38" s="1" t="s">
        <v>166</v>
      </c>
      <c r="W38" s="1" t="s">
        <v>165</v>
      </c>
      <c r="X38" s="2">
        <v>36</v>
      </c>
      <c r="AB38" s="1"/>
      <c r="AC38" s="1"/>
    </row>
    <row r="39" spans="1:29" x14ac:dyDescent="0.35">
      <c r="A39">
        <v>36</v>
      </c>
      <c r="B39" s="1" t="s">
        <v>322</v>
      </c>
      <c r="C39" s="1" t="s">
        <v>323</v>
      </c>
      <c r="D39">
        <v>97</v>
      </c>
      <c r="F39">
        <v>36</v>
      </c>
      <c r="G39" s="1" t="s">
        <v>778</v>
      </c>
      <c r="H39" s="1" t="s">
        <v>118</v>
      </c>
      <c r="I39" s="2">
        <v>41</v>
      </c>
      <c r="K39">
        <v>36</v>
      </c>
      <c r="L39" s="1" t="s">
        <v>128</v>
      </c>
      <c r="M39" s="1" t="s">
        <v>85</v>
      </c>
      <c r="N39" s="2">
        <v>1858</v>
      </c>
      <c r="P39">
        <v>36</v>
      </c>
      <c r="Q39" s="1" t="s">
        <v>402</v>
      </c>
      <c r="R39" s="1" t="s">
        <v>204</v>
      </c>
      <c r="S39" s="2">
        <v>96</v>
      </c>
      <c r="U39">
        <v>36</v>
      </c>
      <c r="V39" s="1" t="s">
        <v>1064</v>
      </c>
      <c r="W39" s="1" t="s">
        <v>1065</v>
      </c>
      <c r="X39" s="2">
        <v>36</v>
      </c>
      <c r="AB39" s="1"/>
      <c r="AC39" s="1"/>
    </row>
    <row r="40" spans="1:29" x14ac:dyDescent="0.35">
      <c r="A40">
        <v>37</v>
      </c>
      <c r="B40" s="1" t="s">
        <v>1078</v>
      </c>
      <c r="C40" s="1" t="s">
        <v>452</v>
      </c>
      <c r="D40">
        <v>97</v>
      </c>
      <c r="F40">
        <v>37</v>
      </c>
      <c r="G40" s="1" t="s">
        <v>354</v>
      </c>
      <c r="H40" s="1" t="s">
        <v>190</v>
      </c>
      <c r="I40" s="2">
        <v>40</v>
      </c>
      <c r="K40">
        <v>37</v>
      </c>
      <c r="L40" s="1" t="s">
        <v>1023</v>
      </c>
      <c r="M40" s="1" t="s">
        <v>172</v>
      </c>
      <c r="N40" s="2">
        <v>1845</v>
      </c>
      <c r="P40">
        <v>37</v>
      </c>
      <c r="Q40" s="1" t="s">
        <v>19</v>
      </c>
      <c r="R40" s="1" t="s">
        <v>20</v>
      </c>
      <c r="S40" s="2">
        <v>96</v>
      </c>
      <c r="U40">
        <v>37</v>
      </c>
      <c r="V40" s="1" t="s">
        <v>582</v>
      </c>
      <c r="W40" s="1" t="s">
        <v>583</v>
      </c>
      <c r="X40" s="2">
        <v>36</v>
      </c>
      <c r="AB40" s="1"/>
      <c r="AC40" s="1"/>
    </row>
    <row r="41" spans="1:29" x14ac:dyDescent="0.35">
      <c r="A41">
        <v>38</v>
      </c>
      <c r="B41" s="15" t="s">
        <v>607</v>
      </c>
      <c r="C41" s="15" t="s">
        <v>353</v>
      </c>
      <c r="D41" s="18">
        <v>96</v>
      </c>
      <c r="F41">
        <v>38</v>
      </c>
      <c r="G41" s="1" t="s">
        <v>773</v>
      </c>
      <c r="H41" s="1" t="s">
        <v>53</v>
      </c>
      <c r="I41" s="2">
        <v>38</v>
      </c>
      <c r="K41">
        <v>38</v>
      </c>
      <c r="L41" s="1" t="s">
        <v>143</v>
      </c>
      <c r="M41" s="1" t="s">
        <v>144</v>
      </c>
      <c r="N41" s="2">
        <v>1812</v>
      </c>
      <c r="P41">
        <v>38</v>
      </c>
      <c r="Q41" s="1" t="s">
        <v>746</v>
      </c>
      <c r="R41" s="1" t="s">
        <v>77</v>
      </c>
      <c r="S41" s="2">
        <v>94</v>
      </c>
      <c r="U41">
        <v>38</v>
      </c>
      <c r="V41" s="1" t="s">
        <v>932</v>
      </c>
      <c r="W41" s="1" t="s">
        <v>295</v>
      </c>
      <c r="X41" s="2">
        <v>35</v>
      </c>
      <c r="AB41" s="1"/>
      <c r="AC41" s="1"/>
    </row>
    <row r="42" spans="1:29" x14ac:dyDescent="0.35">
      <c r="A42">
        <v>39</v>
      </c>
      <c r="B42" s="15" t="s">
        <v>497</v>
      </c>
      <c r="C42" s="15" t="s">
        <v>190</v>
      </c>
      <c r="D42" s="18">
        <v>95</v>
      </c>
      <c r="F42">
        <v>39</v>
      </c>
      <c r="G42" s="11" t="s">
        <v>1109</v>
      </c>
      <c r="H42" s="11" t="s">
        <v>1110</v>
      </c>
      <c r="I42" s="2">
        <v>37</v>
      </c>
      <c r="K42">
        <v>39</v>
      </c>
      <c r="L42" s="1" t="s">
        <v>932</v>
      </c>
      <c r="M42" s="1" t="s">
        <v>295</v>
      </c>
      <c r="N42" s="2">
        <v>1754</v>
      </c>
      <c r="P42">
        <v>39</v>
      </c>
      <c r="Q42" s="1" t="s">
        <v>544</v>
      </c>
      <c r="R42" s="1" t="s">
        <v>546</v>
      </c>
      <c r="S42" s="2">
        <v>93</v>
      </c>
      <c r="U42">
        <v>39</v>
      </c>
      <c r="V42" s="1" t="s">
        <v>162</v>
      </c>
      <c r="W42" s="1" t="s">
        <v>163</v>
      </c>
      <c r="X42" s="2">
        <v>34</v>
      </c>
      <c r="AB42" s="1"/>
      <c r="AC42" s="1"/>
    </row>
    <row r="43" spans="1:29" x14ac:dyDescent="0.35">
      <c r="A43">
        <v>40</v>
      </c>
      <c r="B43" s="1" t="s">
        <v>123</v>
      </c>
      <c r="C43" s="1" t="s">
        <v>124</v>
      </c>
      <c r="D43">
        <v>94</v>
      </c>
      <c r="F43">
        <v>40</v>
      </c>
      <c r="G43" s="1" t="s">
        <v>173</v>
      </c>
      <c r="H43" s="1" t="s">
        <v>176</v>
      </c>
      <c r="I43" s="2">
        <v>35</v>
      </c>
      <c r="K43">
        <v>40</v>
      </c>
      <c r="L43" s="1" t="s">
        <v>469</v>
      </c>
      <c r="M43" s="1" t="s">
        <v>639</v>
      </c>
      <c r="N43" s="2">
        <v>1709</v>
      </c>
      <c r="P43">
        <v>40</v>
      </c>
      <c r="Q43" s="1" t="s">
        <v>1064</v>
      </c>
      <c r="R43" s="1" t="s">
        <v>1066</v>
      </c>
      <c r="S43" s="2">
        <v>92</v>
      </c>
      <c r="U43">
        <v>40</v>
      </c>
      <c r="V43" s="1" t="s">
        <v>1084</v>
      </c>
      <c r="W43" s="1" t="s">
        <v>229</v>
      </c>
      <c r="X43" s="2">
        <v>34</v>
      </c>
      <c r="AB43" s="1"/>
      <c r="AC43" s="1"/>
    </row>
    <row r="44" spans="1:29" x14ac:dyDescent="0.35">
      <c r="A44">
        <v>41</v>
      </c>
      <c r="B44" s="1" t="s">
        <v>706</v>
      </c>
      <c r="C44" s="1" t="s">
        <v>20</v>
      </c>
      <c r="D44">
        <v>94</v>
      </c>
      <c r="F44">
        <v>41</v>
      </c>
      <c r="G44" s="25" t="s">
        <v>41</v>
      </c>
      <c r="H44" s="25" t="s">
        <v>293</v>
      </c>
      <c r="I44" s="5">
        <v>34</v>
      </c>
      <c r="K44">
        <v>41</v>
      </c>
      <c r="L44" s="15" t="s">
        <v>458</v>
      </c>
      <c r="M44" s="15" t="s">
        <v>459</v>
      </c>
      <c r="N44" s="16">
        <v>1681</v>
      </c>
      <c r="P44">
        <v>41</v>
      </c>
      <c r="Q44" s="1" t="s">
        <v>354</v>
      </c>
      <c r="R44" s="1" t="s">
        <v>190</v>
      </c>
      <c r="S44" s="2">
        <v>90</v>
      </c>
      <c r="U44">
        <v>41</v>
      </c>
      <c r="V44" s="1" t="s">
        <v>145</v>
      </c>
      <c r="W44" s="1" t="s">
        <v>146</v>
      </c>
      <c r="X44" s="2">
        <v>34</v>
      </c>
      <c r="AB44" s="1"/>
      <c r="AC44" s="1"/>
    </row>
    <row r="45" spans="1:29" x14ac:dyDescent="0.35">
      <c r="A45">
        <v>42</v>
      </c>
      <c r="B45" s="15" t="s">
        <v>875</v>
      </c>
      <c r="C45" s="15" t="s">
        <v>726</v>
      </c>
      <c r="D45" s="18">
        <v>90</v>
      </c>
      <c r="F45">
        <v>42</v>
      </c>
      <c r="G45" s="1" t="s">
        <v>402</v>
      </c>
      <c r="H45" s="1" t="s">
        <v>204</v>
      </c>
      <c r="I45" s="2">
        <v>33</v>
      </c>
      <c r="K45">
        <v>42</v>
      </c>
      <c r="L45" s="24" t="s">
        <v>789</v>
      </c>
      <c r="M45" s="24" t="s">
        <v>1075</v>
      </c>
      <c r="N45" s="16">
        <v>1670</v>
      </c>
      <c r="P45">
        <v>42</v>
      </c>
      <c r="Q45" s="25" t="s">
        <v>955</v>
      </c>
      <c r="R45" s="25" t="s">
        <v>24</v>
      </c>
      <c r="S45" s="2">
        <v>89</v>
      </c>
      <c r="U45">
        <v>42</v>
      </c>
      <c r="V45" s="25" t="s">
        <v>257</v>
      </c>
      <c r="W45" s="25" t="s">
        <v>165</v>
      </c>
      <c r="X45" s="2">
        <v>33</v>
      </c>
      <c r="AB45" s="1"/>
      <c r="AC45" s="1"/>
    </row>
    <row r="46" spans="1:29" x14ac:dyDescent="0.35">
      <c r="A46">
        <v>43</v>
      </c>
      <c r="B46" s="1" t="s">
        <v>952</v>
      </c>
      <c r="C46" s="1" t="s">
        <v>156</v>
      </c>
      <c r="D46">
        <v>90</v>
      </c>
      <c r="F46">
        <v>43</v>
      </c>
      <c r="G46" s="1" t="s">
        <v>447</v>
      </c>
      <c r="H46" s="1" t="s">
        <v>156</v>
      </c>
      <c r="I46" s="2">
        <v>33</v>
      </c>
      <c r="K46">
        <v>43</v>
      </c>
      <c r="L46" s="1" t="s">
        <v>394</v>
      </c>
      <c r="M46" s="1" t="s">
        <v>87</v>
      </c>
      <c r="N46" s="2">
        <v>1541</v>
      </c>
      <c r="P46">
        <v>43</v>
      </c>
      <c r="Q46" s="1" t="s">
        <v>82</v>
      </c>
      <c r="R46" s="1" t="s">
        <v>83</v>
      </c>
      <c r="S46" s="2">
        <v>88</v>
      </c>
      <c r="U46">
        <v>43</v>
      </c>
      <c r="V46" s="1" t="s">
        <v>547</v>
      </c>
      <c r="W46" s="1" t="s">
        <v>66</v>
      </c>
      <c r="X46" s="2">
        <v>33</v>
      </c>
      <c r="AB46" s="1"/>
      <c r="AC46" s="1"/>
    </row>
    <row r="47" spans="1:29" x14ac:dyDescent="0.35">
      <c r="A47">
        <v>44</v>
      </c>
      <c r="B47" s="1" t="s">
        <v>205</v>
      </c>
      <c r="C47" s="1" t="s">
        <v>31</v>
      </c>
      <c r="D47">
        <v>89</v>
      </c>
      <c r="F47">
        <v>44</v>
      </c>
      <c r="G47" s="1" t="s">
        <v>500</v>
      </c>
      <c r="H47" s="1" t="s">
        <v>125</v>
      </c>
      <c r="I47" s="2">
        <v>33</v>
      </c>
      <c r="K47">
        <v>44</v>
      </c>
      <c r="L47" s="1" t="s">
        <v>27</v>
      </c>
      <c r="M47" s="1" t="s">
        <v>20</v>
      </c>
      <c r="N47" s="2">
        <v>1527</v>
      </c>
      <c r="P47">
        <v>44</v>
      </c>
      <c r="Q47" s="1" t="s">
        <v>331</v>
      </c>
      <c r="R47" s="1" t="s">
        <v>332</v>
      </c>
      <c r="S47" s="2">
        <v>87</v>
      </c>
      <c r="U47">
        <v>44</v>
      </c>
      <c r="V47" s="1" t="s">
        <v>928</v>
      </c>
      <c r="W47" s="1" t="s">
        <v>240</v>
      </c>
      <c r="X47" s="2">
        <v>33</v>
      </c>
      <c r="AB47" s="1"/>
      <c r="AC47" s="1"/>
    </row>
    <row r="48" spans="1:29" x14ac:dyDescent="0.35">
      <c r="A48">
        <v>45</v>
      </c>
      <c r="B48" s="1" t="s">
        <v>773</v>
      </c>
      <c r="C48" s="1" t="s">
        <v>53</v>
      </c>
      <c r="D48">
        <v>89</v>
      </c>
      <c r="F48">
        <v>45</v>
      </c>
      <c r="G48" s="11" t="s">
        <v>1107</v>
      </c>
      <c r="H48" s="11" t="s">
        <v>1108</v>
      </c>
      <c r="I48" s="2">
        <v>33</v>
      </c>
      <c r="K48">
        <v>45</v>
      </c>
      <c r="L48" s="1" t="s">
        <v>705</v>
      </c>
      <c r="M48" s="1" t="s">
        <v>212</v>
      </c>
      <c r="N48" s="2">
        <v>1519</v>
      </c>
      <c r="P48">
        <v>45</v>
      </c>
      <c r="Q48" s="1" t="s">
        <v>393</v>
      </c>
      <c r="R48" s="1" t="s">
        <v>344</v>
      </c>
      <c r="S48" s="2">
        <v>86</v>
      </c>
      <c r="U48">
        <v>45</v>
      </c>
      <c r="V48" s="1" t="s">
        <v>469</v>
      </c>
      <c r="W48" s="1" t="s">
        <v>639</v>
      </c>
      <c r="X48" s="2">
        <v>32</v>
      </c>
      <c r="AB48" s="1"/>
      <c r="AC48" s="1"/>
    </row>
    <row r="49" spans="1:29" x14ac:dyDescent="0.35">
      <c r="A49">
        <v>46</v>
      </c>
      <c r="B49" s="1" t="s">
        <v>932</v>
      </c>
      <c r="C49" s="1" t="s">
        <v>295</v>
      </c>
      <c r="D49">
        <v>89</v>
      </c>
      <c r="F49">
        <v>46</v>
      </c>
      <c r="G49" s="1" t="s">
        <v>935</v>
      </c>
      <c r="H49" s="1" t="s">
        <v>936</v>
      </c>
      <c r="I49" s="2">
        <v>32</v>
      </c>
      <c r="K49">
        <v>46</v>
      </c>
      <c r="L49" s="1" t="s">
        <v>162</v>
      </c>
      <c r="M49" s="1" t="s">
        <v>163</v>
      </c>
      <c r="N49" s="2">
        <v>1516</v>
      </c>
      <c r="P49">
        <v>46</v>
      </c>
      <c r="Q49" s="1" t="s">
        <v>447</v>
      </c>
      <c r="R49" s="1" t="s">
        <v>156</v>
      </c>
      <c r="S49" s="2">
        <v>86</v>
      </c>
      <c r="U49">
        <v>46</v>
      </c>
      <c r="V49" s="1" t="s">
        <v>27</v>
      </c>
      <c r="W49" s="1" t="s">
        <v>31</v>
      </c>
      <c r="X49" s="2">
        <v>31</v>
      </c>
      <c r="AB49" s="1"/>
      <c r="AC49" s="1"/>
    </row>
    <row r="50" spans="1:29" x14ac:dyDescent="0.35">
      <c r="A50">
        <v>47</v>
      </c>
      <c r="B50" s="1" t="s">
        <v>938</v>
      </c>
      <c r="C50" s="1" t="s">
        <v>939</v>
      </c>
      <c r="D50">
        <v>89</v>
      </c>
      <c r="F50">
        <v>47</v>
      </c>
      <c r="G50" s="1" t="s">
        <v>341</v>
      </c>
      <c r="H50" s="1" t="s">
        <v>342</v>
      </c>
      <c r="I50" s="2">
        <v>31</v>
      </c>
      <c r="K50">
        <v>47</v>
      </c>
      <c r="L50" s="1" t="s">
        <v>808</v>
      </c>
      <c r="M50" s="1" t="s">
        <v>818</v>
      </c>
      <c r="N50" s="2">
        <v>1514</v>
      </c>
      <c r="P50">
        <v>47</v>
      </c>
      <c r="Q50" s="1" t="s">
        <v>530</v>
      </c>
      <c r="R50" s="1" t="s">
        <v>208</v>
      </c>
      <c r="S50" s="2">
        <v>85</v>
      </c>
      <c r="U50">
        <v>47</v>
      </c>
      <c r="V50" s="1" t="s">
        <v>457</v>
      </c>
      <c r="W50" s="1" t="s">
        <v>190</v>
      </c>
      <c r="X50" s="2">
        <v>31</v>
      </c>
      <c r="AB50" s="1"/>
      <c r="AC50" s="1"/>
    </row>
    <row r="51" spans="1:29" x14ac:dyDescent="0.35">
      <c r="A51">
        <v>48</v>
      </c>
      <c r="B51" s="1" t="s">
        <v>808</v>
      </c>
      <c r="C51" s="1" t="s">
        <v>809</v>
      </c>
      <c r="D51">
        <v>88</v>
      </c>
      <c r="F51">
        <v>48</v>
      </c>
      <c r="G51" s="1" t="s">
        <v>582</v>
      </c>
      <c r="H51" s="1" t="s">
        <v>583</v>
      </c>
      <c r="I51" s="2">
        <v>30</v>
      </c>
      <c r="K51">
        <v>48</v>
      </c>
      <c r="L51" s="1" t="s">
        <v>660</v>
      </c>
      <c r="M51" s="1" t="s">
        <v>661</v>
      </c>
      <c r="N51" s="2">
        <v>1512</v>
      </c>
      <c r="P51">
        <v>48</v>
      </c>
      <c r="Q51" s="1" t="s">
        <v>253</v>
      </c>
      <c r="R51" s="1" t="s">
        <v>58</v>
      </c>
      <c r="S51" s="2">
        <v>83</v>
      </c>
      <c r="U51">
        <v>48</v>
      </c>
      <c r="V51" s="15" t="s">
        <v>205</v>
      </c>
      <c r="W51" s="15" t="s">
        <v>206</v>
      </c>
      <c r="X51" s="16">
        <v>30</v>
      </c>
      <c r="AB51" s="1"/>
      <c r="AC51" s="1"/>
    </row>
    <row r="52" spans="1:29" x14ac:dyDescent="0.35">
      <c r="A52">
        <v>49</v>
      </c>
      <c r="B52" s="1" t="s">
        <v>955</v>
      </c>
      <c r="C52" s="1" t="s">
        <v>24</v>
      </c>
      <c r="D52">
        <v>88</v>
      </c>
      <c r="F52">
        <v>49</v>
      </c>
      <c r="G52" s="15" t="s">
        <v>1011</v>
      </c>
      <c r="H52" s="15" t="s">
        <v>726</v>
      </c>
      <c r="I52" s="16">
        <v>29</v>
      </c>
      <c r="K52">
        <v>49</v>
      </c>
      <c r="L52" s="1" t="s">
        <v>123</v>
      </c>
      <c r="M52" s="1" t="s">
        <v>125</v>
      </c>
      <c r="N52" s="2">
        <v>1480</v>
      </c>
      <c r="P52">
        <v>49</v>
      </c>
      <c r="Q52" s="22" t="s">
        <v>1254</v>
      </c>
      <c r="R52" s="15" t="s">
        <v>1260</v>
      </c>
      <c r="S52" s="16">
        <v>80</v>
      </c>
      <c r="U52">
        <v>49</v>
      </c>
      <c r="V52" s="1" t="s">
        <v>952</v>
      </c>
      <c r="W52" s="1" t="s">
        <v>156</v>
      </c>
      <c r="X52" s="2">
        <v>30</v>
      </c>
      <c r="AB52" s="1"/>
      <c r="AC52" s="1"/>
    </row>
    <row r="53" spans="1:29" x14ac:dyDescent="0.35">
      <c r="A53">
        <v>50</v>
      </c>
      <c r="B53" s="1" t="s">
        <v>447</v>
      </c>
      <c r="C53" s="1" t="s">
        <v>156</v>
      </c>
      <c r="D53">
        <v>87</v>
      </c>
      <c r="F53">
        <v>50</v>
      </c>
      <c r="G53" s="1" t="s">
        <v>470</v>
      </c>
      <c r="H53" s="1" t="s">
        <v>226</v>
      </c>
      <c r="I53" s="2">
        <v>28</v>
      </c>
      <c r="K53">
        <v>50</v>
      </c>
      <c r="L53" s="15" t="s">
        <v>1084</v>
      </c>
      <c r="M53" s="15" t="s">
        <v>176</v>
      </c>
      <c r="N53" s="16">
        <v>1479</v>
      </c>
      <c r="P53">
        <v>50</v>
      </c>
      <c r="Q53" s="1" t="s">
        <v>260</v>
      </c>
      <c r="R53" s="1" t="s">
        <v>212</v>
      </c>
      <c r="S53" s="2">
        <v>80</v>
      </c>
      <c r="U53">
        <v>50</v>
      </c>
      <c r="V53" s="1" t="s">
        <v>796</v>
      </c>
      <c r="W53" s="1" t="s">
        <v>134</v>
      </c>
      <c r="X53" s="2">
        <v>30</v>
      </c>
      <c r="AB53" s="1"/>
      <c r="AC5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2C59-F877-46DD-83CF-018426A3A87C}">
  <dimension ref="A1:X64"/>
  <sheetViews>
    <sheetView workbookViewId="0">
      <selection activeCell="H10" sqref="H10"/>
    </sheetView>
  </sheetViews>
  <sheetFormatPr defaultRowHeight="14.5" x14ac:dyDescent="0.35"/>
  <cols>
    <col min="1" max="1" width="17.7265625" bestFit="1" customWidth="1"/>
    <col min="2" max="2" width="13.7265625" bestFit="1" customWidth="1"/>
    <col min="3" max="3" width="12" bestFit="1" customWidth="1"/>
    <col min="4" max="4" width="12.453125" bestFit="1" customWidth="1"/>
    <col min="6" max="6" width="12.36328125" bestFit="1" customWidth="1"/>
    <col min="7" max="7" width="12.7265625" bestFit="1" customWidth="1"/>
    <col min="8" max="8" width="11.7265625" bestFit="1" customWidth="1"/>
    <col min="9" max="9" width="12.36328125" bestFit="1" customWidth="1"/>
    <col min="11" max="11" width="9.54296875" bestFit="1" customWidth="1"/>
    <col min="12" max="12" width="13.7265625" bestFit="1" customWidth="1"/>
    <col min="13" max="13" width="12.26953125" customWidth="1"/>
    <col min="14" max="14" width="9.54296875" bestFit="1" customWidth="1"/>
    <col min="16" max="16" width="11.90625" bestFit="1" customWidth="1"/>
    <col min="17" max="17" width="13.7265625" bestFit="1" customWidth="1"/>
    <col min="18" max="18" width="14.81640625" customWidth="1"/>
    <col min="19" max="19" width="11.90625" bestFit="1" customWidth="1"/>
    <col min="21" max="21" width="11.90625" bestFit="1" customWidth="1"/>
    <col min="22" max="22" width="14.6328125" bestFit="1" customWidth="1"/>
    <col min="23" max="23" width="12" bestFit="1" customWidth="1"/>
    <col min="24" max="24" width="11.90625" bestFit="1" customWidth="1"/>
  </cols>
  <sheetData>
    <row r="1" spans="1:24" x14ac:dyDescent="0.35">
      <c r="A1" t="s">
        <v>1302</v>
      </c>
      <c r="F1" t="s">
        <v>1305</v>
      </c>
      <c r="K1" t="s">
        <v>1203</v>
      </c>
      <c r="P1" t="s">
        <v>1306</v>
      </c>
      <c r="U1" t="s">
        <v>1307</v>
      </c>
    </row>
    <row r="3" spans="1:24" x14ac:dyDescent="0.35">
      <c r="B3" t="s">
        <v>1303</v>
      </c>
      <c r="D3" t="s">
        <v>1304</v>
      </c>
      <c r="G3" t="s">
        <v>1303</v>
      </c>
      <c r="I3" t="s">
        <v>1305</v>
      </c>
      <c r="L3" t="s">
        <v>1303</v>
      </c>
      <c r="N3" t="s">
        <v>1203</v>
      </c>
      <c r="Q3" t="s">
        <v>1303</v>
      </c>
      <c r="S3" t="s">
        <v>1306</v>
      </c>
      <c r="V3" t="s">
        <v>1303</v>
      </c>
      <c r="X3" t="s">
        <v>1307</v>
      </c>
    </row>
    <row r="4" spans="1:24" x14ac:dyDescent="0.35">
      <c r="A4">
        <v>1</v>
      </c>
      <c r="B4" s="15" t="s">
        <v>736</v>
      </c>
      <c r="C4" s="15" t="s">
        <v>97</v>
      </c>
      <c r="D4" s="18">
        <v>280</v>
      </c>
      <c r="F4">
        <v>1</v>
      </c>
      <c r="G4" s="24" t="s">
        <v>736</v>
      </c>
      <c r="H4" s="24" t="s">
        <v>97</v>
      </c>
      <c r="I4" s="27">
        <v>156</v>
      </c>
      <c r="K4">
        <v>1</v>
      </c>
      <c r="L4" s="15" t="s">
        <v>337</v>
      </c>
      <c r="M4" s="15" t="s">
        <v>94</v>
      </c>
      <c r="N4" s="16">
        <v>3980</v>
      </c>
      <c r="P4">
        <v>1</v>
      </c>
      <c r="Q4" s="15" t="s">
        <v>736</v>
      </c>
      <c r="R4" s="15" t="s">
        <v>97</v>
      </c>
      <c r="S4" s="16">
        <v>512</v>
      </c>
      <c r="U4">
        <v>1</v>
      </c>
      <c r="V4" s="15" t="s">
        <v>996</v>
      </c>
      <c r="W4" s="15" t="s">
        <v>561</v>
      </c>
      <c r="X4" s="16">
        <v>85</v>
      </c>
    </row>
    <row r="5" spans="1:24" x14ac:dyDescent="0.35">
      <c r="A5">
        <v>2</v>
      </c>
      <c r="B5" s="15" t="s">
        <v>337</v>
      </c>
      <c r="C5" s="15" t="s">
        <v>94</v>
      </c>
      <c r="D5" s="18">
        <v>252</v>
      </c>
      <c r="F5">
        <v>2</v>
      </c>
      <c r="G5" s="24" t="s">
        <v>538</v>
      </c>
      <c r="H5" s="24" t="s">
        <v>539</v>
      </c>
      <c r="I5" s="27">
        <f>126+13</f>
        <v>139</v>
      </c>
      <c r="K5">
        <v>2</v>
      </c>
      <c r="L5" s="15" t="s">
        <v>996</v>
      </c>
      <c r="M5" s="15" t="s">
        <v>561</v>
      </c>
      <c r="N5" s="16">
        <v>2886</v>
      </c>
      <c r="P5">
        <v>2</v>
      </c>
      <c r="Q5" s="24" t="s">
        <v>337</v>
      </c>
      <c r="R5" s="24" t="s">
        <v>94</v>
      </c>
      <c r="S5" s="27">
        <v>263</v>
      </c>
      <c r="U5">
        <v>2</v>
      </c>
      <c r="V5" s="15" t="s">
        <v>337</v>
      </c>
      <c r="W5" s="15" t="s">
        <v>94</v>
      </c>
      <c r="X5" s="16">
        <v>75</v>
      </c>
    </row>
    <row r="6" spans="1:24" x14ac:dyDescent="0.35">
      <c r="A6">
        <v>3</v>
      </c>
      <c r="B6" s="15" t="s">
        <v>538</v>
      </c>
      <c r="C6" s="15" t="s">
        <v>539</v>
      </c>
      <c r="D6" s="18">
        <v>176</v>
      </c>
      <c r="F6">
        <v>3</v>
      </c>
      <c r="G6" s="15" t="s">
        <v>337</v>
      </c>
      <c r="H6" s="15" t="s">
        <v>94</v>
      </c>
      <c r="I6" s="16">
        <v>74</v>
      </c>
      <c r="K6">
        <v>3</v>
      </c>
      <c r="L6" s="15" t="s">
        <v>607</v>
      </c>
      <c r="M6" s="15" t="s">
        <v>353</v>
      </c>
      <c r="N6" s="16">
        <v>2613</v>
      </c>
      <c r="P6">
        <v>3</v>
      </c>
      <c r="Q6" s="24" t="s">
        <v>538</v>
      </c>
      <c r="R6" s="24" t="s">
        <v>539</v>
      </c>
      <c r="S6" s="16">
        <v>202</v>
      </c>
      <c r="U6">
        <v>3</v>
      </c>
      <c r="V6" s="24" t="s">
        <v>538</v>
      </c>
      <c r="W6" s="24" t="s">
        <v>539</v>
      </c>
      <c r="X6" s="16">
        <v>73</v>
      </c>
    </row>
    <row r="7" spans="1:24" x14ac:dyDescent="0.35">
      <c r="A7">
        <v>4</v>
      </c>
      <c r="B7" s="15" t="s">
        <v>1084</v>
      </c>
      <c r="C7" s="15" t="s">
        <v>176</v>
      </c>
      <c r="D7" s="18">
        <v>154</v>
      </c>
      <c r="F7">
        <v>4</v>
      </c>
      <c r="G7" s="15" t="s">
        <v>1084</v>
      </c>
      <c r="H7" s="15" t="s">
        <v>176</v>
      </c>
      <c r="I7" s="16">
        <v>72</v>
      </c>
      <c r="K7">
        <v>4</v>
      </c>
      <c r="L7" s="15" t="s">
        <v>497</v>
      </c>
      <c r="M7" s="15" t="s">
        <v>190</v>
      </c>
      <c r="N7" s="16">
        <v>2462</v>
      </c>
      <c r="P7">
        <v>4</v>
      </c>
      <c r="Q7" s="15" t="s">
        <v>1084</v>
      </c>
      <c r="R7" s="15" t="s">
        <v>176</v>
      </c>
      <c r="S7" s="16">
        <v>183</v>
      </c>
      <c r="U7">
        <v>4</v>
      </c>
      <c r="V7" s="15" t="s">
        <v>736</v>
      </c>
      <c r="W7" s="15" t="s">
        <v>97</v>
      </c>
      <c r="X7" s="16">
        <v>71</v>
      </c>
    </row>
    <row r="8" spans="1:24" x14ac:dyDescent="0.35">
      <c r="A8">
        <v>5</v>
      </c>
      <c r="B8" s="15" t="s">
        <v>200</v>
      </c>
      <c r="C8" s="15" t="s">
        <v>201</v>
      </c>
      <c r="D8" s="18">
        <v>139</v>
      </c>
      <c r="F8">
        <v>5</v>
      </c>
      <c r="G8" s="15" t="s">
        <v>497</v>
      </c>
      <c r="H8" s="15" t="s">
        <v>190</v>
      </c>
      <c r="I8" s="16">
        <v>51</v>
      </c>
      <c r="K8">
        <v>5</v>
      </c>
      <c r="L8" s="15" t="s">
        <v>200</v>
      </c>
      <c r="M8" s="15" t="s">
        <v>201</v>
      </c>
      <c r="N8" s="16">
        <v>2401</v>
      </c>
      <c r="P8">
        <v>5</v>
      </c>
      <c r="Q8" s="22" t="s">
        <v>1254</v>
      </c>
      <c r="R8" s="15" t="s">
        <v>1260</v>
      </c>
      <c r="S8" s="16">
        <v>80</v>
      </c>
      <c r="U8">
        <v>5</v>
      </c>
      <c r="V8" s="15" t="s">
        <v>607</v>
      </c>
      <c r="W8" s="15" t="s">
        <v>353</v>
      </c>
      <c r="X8" s="16">
        <v>45</v>
      </c>
    </row>
    <row r="9" spans="1:24" x14ac:dyDescent="0.35">
      <c r="A9">
        <v>6</v>
      </c>
      <c r="B9" s="15" t="s">
        <v>996</v>
      </c>
      <c r="C9" s="15" t="s">
        <v>561</v>
      </c>
      <c r="D9" s="18">
        <v>137</v>
      </c>
      <c r="F9">
        <v>6</v>
      </c>
      <c r="G9" s="15" t="s">
        <v>996</v>
      </c>
      <c r="H9" s="15" t="s">
        <v>561</v>
      </c>
      <c r="I9" s="16">
        <v>50</v>
      </c>
      <c r="K9">
        <v>6</v>
      </c>
      <c r="L9" s="22" t="s">
        <v>1254</v>
      </c>
      <c r="M9" s="15" t="s">
        <v>1260</v>
      </c>
      <c r="N9" s="16">
        <v>2002</v>
      </c>
      <c r="P9">
        <v>6</v>
      </c>
      <c r="Q9" s="22" t="s">
        <v>1277</v>
      </c>
      <c r="R9" s="22" t="s">
        <v>265</v>
      </c>
      <c r="S9" s="18">
        <v>79</v>
      </c>
      <c r="U9">
        <v>6</v>
      </c>
      <c r="V9" s="15" t="s">
        <v>1309</v>
      </c>
      <c r="W9" s="15" t="s">
        <v>42</v>
      </c>
      <c r="X9" s="16">
        <v>43</v>
      </c>
    </row>
    <row r="10" spans="1:24" x14ac:dyDescent="0.35">
      <c r="A10">
        <v>7</v>
      </c>
      <c r="B10" s="15" t="s">
        <v>607</v>
      </c>
      <c r="C10" s="15" t="s">
        <v>353</v>
      </c>
      <c r="D10" s="18">
        <v>96</v>
      </c>
      <c r="F10">
        <v>7</v>
      </c>
      <c r="G10" s="15" t="s">
        <v>200</v>
      </c>
      <c r="H10" s="15" t="s">
        <v>201</v>
      </c>
      <c r="I10" s="16">
        <v>43</v>
      </c>
      <c r="K10">
        <v>7</v>
      </c>
      <c r="L10" s="15" t="s">
        <v>538</v>
      </c>
      <c r="M10" s="15" t="s">
        <v>539</v>
      </c>
      <c r="N10" s="16">
        <v>1992</v>
      </c>
      <c r="P10">
        <v>7</v>
      </c>
      <c r="Q10" s="15" t="s">
        <v>875</v>
      </c>
      <c r="R10" s="15" t="s">
        <v>726</v>
      </c>
      <c r="S10" s="18">
        <v>60</v>
      </c>
      <c r="U10">
        <v>7</v>
      </c>
      <c r="V10" s="15" t="s">
        <v>200</v>
      </c>
      <c r="W10" s="15" t="s">
        <v>201</v>
      </c>
      <c r="X10" s="16">
        <v>42</v>
      </c>
    </row>
    <row r="11" spans="1:24" x14ac:dyDescent="0.35">
      <c r="A11">
        <v>8</v>
      </c>
      <c r="B11" s="15" t="s">
        <v>497</v>
      </c>
      <c r="C11" s="15" t="s">
        <v>190</v>
      </c>
      <c r="D11" s="18">
        <v>95</v>
      </c>
      <c r="F11">
        <v>8</v>
      </c>
      <c r="G11" s="15" t="s">
        <v>1011</v>
      </c>
      <c r="H11" s="15" t="s">
        <v>726</v>
      </c>
      <c r="I11" s="16">
        <v>29</v>
      </c>
      <c r="K11">
        <v>8</v>
      </c>
      <c r="L11" s="15" t="s">
        <v>458</v>
      </c>
      <c r="M11" s="15" t="s">
        <v>459</v>
      </c>
      <c r="N11" s="16">
        <v>1681</v>
      </c>
      <c r="P11">
        <v>8</v>
      </c>
      <c r="Q11" s="15" t="s">
        <v>470</v>
      </c>
      <c r="R11" s="15" t="s">
        <v>556</v>
      </c>
      <c r="S11" s="18">
        <v>60</v>
      </c>
      <c r="U11">
        <v>8</v>
      </c>
      <c r="V11" s="15" t="s">
        <v>205</v>
      </c>
      <c r="W11" s="15" t="s">
        <v>206</v>
      </c>
      <c r="X11" s="16">
        <v>30</v>
      </c>
    </row>
    <row r="12" spans="1:24" x14ac:dyDescent="0.35">
      <c r="A12">
        <v>9</v>
      </c>
      <c r="B12" s="15" t="s">
        <v>875</v>
      </c>
      <c r="C12" s="15" t="s">
        <v>726</v>
      </c>
      <c r="D12" s="18">
        <v>90</v>
      </c>
      <c r="F12">
        <v>9</v>
      </c>
      <c r="G12" s="22" t="s">
        <v>1358</v>
      </c>
      <c r="H12" s="22" t="s">
        <v>1359</v>
      </c>
      <c r="I12" s="21">
        <v>24</v>
      </c>
      <c r="K12">
        <v>9</v>
      </c>
      <c r="L12" s="24" t="s">
        <v>789</v>
      </c>
      <c r="M12" s="24" t="s">
        <v>1075</v>
      </c>
      <c r="N12" s="16">
        <v>1670</v>
      </c>
      <c r="P12">
        <v>9</v>
      </c>
      <c r="Q12" s="15" t="s">
        <v>458</v>
      </c>
      <c r="R12" s="15" t="s">
        <v>459</v>
      </c>
      <c r="S12" s="18">
        <v>53</v>
      </c>
      <c r="U12">
        <v>9</v>
      </c>
      <c r="V12" s="22" t="s">
        <v>1336</v>
      </c>
      <c r="W12" s="22" t="s">
        <v>1337</v>
      </c>
      <c r="X12" s="16">
        <v>30</v>
      </c>
    </row>
    <row r="13" spans="1:24" x14ac:dyDescent="0.35">
      <c r="A13">
        <v>10</v>
      </c>
      <c r="B13" s="18" t="s">
        <v>396</v>
      </c>
      <c r="C13" s="18" t="s">
        <v>398</v>
      </c>
      <c r="D13" s="18">
        <v>79</v>
      </c>
      <c r="F13">
        <v>10</v>
      </c>
      <c r="G13" s="15" t="s">
        <v>1195</v>
      </c>
      <c r="H13" s="15" t="s">
        <v>110</v>
      </c>
      <c r="I13" s="21">
        <v>23</v>
      </c>
      <c r="K13">
        <v>10</v>
      </c>
      <c r="L13" s="15" t="s">
        <v>1084</v>
      </c>
      <c r="M13" s="15" t="s">
        <v>176</v>
      </c>
      <c r="N13" s="16">
        <v>1479</v>
      </c>
      <c r="P13">
        <v>10</v>
      </c>
      <c r="Q13" s="15" t="s">
        <v>1188</v>
      </c>
      <c r="R13" s="15" t="s">
        <v>481</v>
      </c>
      <c r="S13" s="18">
        <v>51</v>
      </c>
      <c r="U13">
        <v>10</v>
      </c>
      <c r="V13" s="15" t="s">
        <v>789</v>
      </c>
      <c r="W13" s="15" t="s">
        <v>1075</v>
      </c>
      <c r="X13" s="16">
        <v>30</v>
      </c>
    </row>
    <row r="14" spans="1:24" x14ac:dyDescent="0.35">
      <c r="A14">
        <v>11</v>
      </c>
      <c r="B14" s="15" t="s">
        <v>1039</v>
      </c>
      <c r="C14" s="15" t="s">
        <v>64</v>
      </c>
      <c r="D14" s="18">
        <v>78</v>
      </c>
      <c r="F14">
        <v>11</v>
      </c>
      <c r="G14" s="22" t="s">
        <v>1360</v>
      </c>
      <c r="H14" s="22" t="s">
        <v>224</v>
      </c>
      <c r="I14" s="21">
        <v>23</v>
      </c>
      <c r="K14">
        <v>11</v>
      </c>
      <c r="L14" s="15" t="s">
        <v>736</v>
      </c>
      <c r="M14" s="15" t="s">
        <v>97</v>
      </c>
      <c r="N14" s="16">
        <v>1459</v>
      </c>
      <c r="P14">
        <v>11</v>
      </c>
      <c r="Q14" s="15" t="s">
        <v>1255</v>
      </c>
      <c r="R14" s="15" t="s">
        <v>265</v>
      </c>
      <c r="S14" s="18">
        <v>45</v>
      </c>
      <c r="U14">
        <v>11</v>
      </c>
      <c r="V14" s="22" t="s">
        <v>1274</v>
      </c>
      <c r="W14" s="22" t="s">
        <v>504</v>
      </c>
      <c r="X14" s="16">
        <v>29</v>
      </c>
    </row>
    <row r="15" spans="1:24" x14ac:dyDescent="0.35">
      <c r="A15">
        <v>12</v>
      </c>
      <c r="B15" s="15" t="s">
        <v>789</v>
      </c>
      <c r="C15" s="15" t="s">
        <v>1075</v>
      </c>
      <c r="D15" s="18">
        <v>74</v>
      </c>
      <c r="F15">
        <v>12</v>
      </c>
      <c r="G15" s="15" t="s">
        <v>789</v>
      </c>
      <c r="H15" s="15" t="s">
        <v>1075</v>
      </c>
      <c r="I15" s="21">
        <v>22</v>
      </c>
      <c r="K15">
        <v>12</v>
      </c>
      <c r="L15" s="15" t="s">
        <v>520</v>
      </c>
      <c r="M15" s="15" t="s">
        <v>621</v>
      </c>
      <c r="N15" s="16">
        <v>1432</v>
      </c>
      <c r="P15">
        <v>12</v>
      </c>
      <c r="Q15" s="22" t="s">
        <v>1278</v>
      </c>
      <c r="R15" s="22" t="s">
        <v>175</v>
      </c>
      <c r="S15" s="18">
        <v>45</v>
      </c>
      <c r="U15">
        <v>12</v>
      </c>
      <c r="V15" s="22" t="s">
        <v>1254</v>
      </c>
      <c r="W15" s="15" t="s">
        <v>1260</v>
      </c>
      <c r="X15" s="16">
        <v>27</v>
      </c>
    </row>
    <row r="16" spans="1:24" x14ac:dyDescent="0.35">
      <c r="A16">
        <v>13</v>
      </c>
      <c r="B16" s="15" t="s">
        <v>205</v>
      </c>
      <c r="C16" s="15" t="s">
        <v>206</v>
      </c>
      <c r="D16" s="18">
        <v>71</v>
      </c>
      <c r="F16">
        <v>13</v>
      </c>
      <c r="G16" s="22" t="s">
        <v>1311</v>
      </c>
      <c r="H16" s="22" t="s">
        <v>1272</v>
      </c>
      <c r="I16" s="21">
        <v>16</v>
      </c>
      <c r="K16">
        <v>13</v>
      </c>
      <c r="L16" s="15" t="s">
        <v>718</v>
      </c>
      <c r="M16" s="15" t="s">
        <v>420</v>
      </c>
      <c r="N16" s="16">
        <v>1418</v>
      </c>
      <c r="P16">
        <v>13</v>
      </c>
      <c r="Q16" s="15" t="s">
        <v>205</v>
      </c>
      <c r="R16" s="15" t="s">
        <v>206</v>
      </c>
      <c r="S16" s="18">
        <v>43</v>
      </c>
      <c r="U16">
        <v>13</v>
      </c>
      <c r="V16" s="15" t="s">
        <v>1195</v>
      </c>
      <c r="W16" s="15" t="s">
        <v>110</v>
      </c>
      <c r="X16" s="21">
        <v>25</v>
      </c>
    </row>
    <row r="17" spans="1:24" x14ac:dyDescent="0.35">
      <c r="A17">
        <v>14</v>
      </c>
      <c r="B17" s="15" t="s">
        <v>1254</v>
      </c>
      <c r="C17" s="15" t="s">
        <v>1260</v>
      </c>
      <c r="D17" s="18">
        <v>63</v>
      </c>
      <c r="F17">
        <v>14</v>
      </c>
      <c r="G17" s="22" t="s">
        <v>173</v>
      </c>
      <c r="H17" s="22" t="s">
        <v>222</v>
      </c>
      <c r="I17" s="21">
        <v>14</v>
      </c>
      <c r="K17">
        <v>14</v>
      </c>
      <c r="L17" s="15" t="s">
        <v>1195</v>
      </c>
      <c r="M17" s="15" t="s">
        <v>110</v>
      </c>
      <c r="N17" s="16">
        <v>1342</v>
      </c>
      <c r="P17">
        <v>14</v>
      </c>
      <c r="Q17" s="15" t="s">
        <v>755</v>
      </c>
      <c r="R17" s="15" t="s">
        <v>756</v>
      </c>
      <c r="S17" s="18">
        <v>38</v>
      </c>
      <c r="U17">
        <v>14</v>
      </c>
      <c r="V17" s="22" t="s">
        <v>1123</v>
      </c>
      <c r="W17" s="22" t="s">
        <v>603</v>
      </c>
      <c r="X17" s="16">
        <v>25</v>
      </c>
    </row>
    <row r="18" spans="1:24" x14ac:dyDescent="0.35">
      <c r="A18">
        <v>15</v>
      </c>
      <c r="B18" s="18" t="s">
        <v>520</v>
      </c>
      <c r="C18" s="18" t="s">
        <v>621</v>
      </c>
      <c r="D18" s="18">
        <v>61</v>
      </c>
      <c r="F18">
        <v>15</v>
      </c>
      <c r="G18" s="22" t="s">
        <v>1123</v>
      </c>
      <c r="H18" s="22" t="s">
        <v>603</v>
      </c>
      <c r="I18" s="21">
        <v>14</v>
      </c>
      <c r="K18">
        <v>15</v>
      </c>
      <c r="L18" s="22" t="s">
        <v>1123</v>
      </c>
      <c r="M18" s="22" t="s">
        <v>603</v>
      </c>
      <c r="N18" s="16">
        <v>1299</v>
      </c>
      <c r="P18">
        <v>15</v>
      </c>
      <c r="Q18" s="22" t="s">
        <v>1219</v>
      </c>
      <c r="R18" s="22" t="s">
        <v>1220</v>
      </c>
      <c r="S18" s="18">
        <v>37</v>
      </c>
      <c r="U18">
        <v>15</v>
      </c>
      <c r="V18" s="15" t="s">
        <v>875</v>
      </c>
      <c r="W18" s="15" t="s">
        <v>726</v>
      </c>
      <c r="X18" s="16">
        <v>21</v>
      </c>
    </row>
    <row r="19" spans="1:24" x14ac:dyDescent="0.35">
      <c r="A19">
        <v>16</v>
      </c>
      <c r="B19" s="18" t="s">
        <v>705</v>
      </c>
      <c r="C19" s="18" t="s">
        <v>281</v>
      </c>
      <c r="D19" s="18">
        <v>57</v>
      </c>
      <c r="F19">
        <v>16</v>
      </c>
      <c r="G19" s="15" t="s">
        <v>297</v>
      </c>
      <c r="H19" s="15" t="s">
        <v>97</v>
      </c>
      <c r="I19" s="21">
        <v>11</v>
      </c>
      <c r="K19">
        <v>16</v>
      </c>
      <c r="L19" s="15" t="s">
        <v>1011</v>
      </c>
      <c r="M19" s="15" t="s">
        <v>726</v>
      </c>
      <c r="N19" s="16">
        <v>1171</v>
      </c>
      <c r="P19">
        <v>16</v>
      </c>
      <c r="Q19" s="22" t="s">
        <v>1395</v>
      </c>
      <c r="R19" s="22" t="s">
        <v>118</v>
      </c>
      <c r="S19" s="18">
        <v>35</v>
      </c>
      <c r="U19">
        <v>16</v>
      </c>
      <c r="V19" s="15" t="s">
        <v>497</v>
      </c>
      <c r="W19" s="15" t="s">
        <v>190</v>
      </c>
      <c r="X19" s="16">
        <v>21</v>
      </c>
    </row>
    <row r="20" spans="1:24" x14ac:dyDescent="0.35">
      <c r="A20">
        <v>17</v>
      </c>
      <c r="B20" s="18" t="s">
        <v>1274</v>
      </c>
      <c r="C20" s="18" t="s">
        <v>504</v>
      </c>
      <c r="D20" s="18">
        <v>56</v>
      </c>
      <c r="F20">
        <v>17</v>
      </c>
      <c r="G20" s="24" t="s">
        <v>1189</v>
      </c>
      <c r="H20" s="24" t="s">
        <v>1190</v>
      </c>
      <c r="I20" s="16">
        <v>6</v>
      </c>
      <c r="K20">
        <v>17</v>
      </c>
      <c r="L20" s="15" t="s">
        <v>1189</v>
      </c>
      <c r="M20" s="15" t="s">
        <v>1190</v>
      </c>
      <c r="N20" s="16">
        <v>989</v>
      </c>
      <c r="P20">
        <v>17</v>
      </c>
      <c r="Q20" s="15" t="s">
        <v>736</v>
      </c>
      <c r="R20" s="15" t="s">
        <v>737</v>
      </c>
      <c r="S20" s="18">
        <v>34</v>
      </c>
      <c r="U20">
        <v>17</v>
      </c>
      <c r="V20" s="15" t="s">
        <v>736</v>
      </c>
      <c r="W20" s="15" t="s">
        <v>737</v>
      </c>
      <c r="X20" s="16">
        <v>20</v>
      </c>
    </row>
    <row r="21" spans="1:24" x14ac:dyDescent="0.35">
      <c r="A21">
        <v>18</v>
      </c>
      <c r="B21" s="18" t="s">
        <v>458</v>
      </c>
      <c r="C21" s="18" t="s">
        <v>459</v>
      </c>
      <c r="D21" s="18">
        <v>56</v>
      </c>
      <c r="F21">
        <v>18</v>
      </c>
      <c r="G21" s="15" t="s">
        <v>470</v>
      </c>
      <c r="H21" s="15" t="s">
        <v>556</v>
      </c>
      <c r="I21" s="16">
        <v>4</v>
      </c>
      <c r="K21">
        <v>18</v>
      </c>
      <c r="L21" s="15" t="s">
        <v>297</v>
      </c>
      <c r="M21" s="15" t="s">
        <v>97</v>
      </c>
      <c r="N21" s="18">
        <v>964</v>
      </c>
      <c r="P21">
        <v>18</v>
      </c>
      <c r="Q21" s="18" t="s">
        <v>1358</v>
      </c>
      <c r="R21" s="18" t="s">
        <v>1359</v>
      </c>
      <c r="S21" s="18">
        <v>34</v>
      </c>
      <c r="U21">
        <v>18</v>
      </c>
      <c r="V21" s="15" t="s">
        <v>1189</v>
      </c>
      <c r="W21" s="15" t="s">
        <v>1190</v>
      </c>
      <c r="X21" s="16">
        <v>20</v>
      </c>
    </row>
    <row r="22" spans="1:24" x14ac:dyDescent="0.35">
      <c r="A22">
        <v>19</v>
      </c>
      <c r="B22" s="18" t="s">
        <v>1277</v>
      </c>
      <c r="C22" s="18" t="s">
        <v>265</v>
      </c>
      <c r="D22" s="18">
        <v>52</v>
      </c>
      <c r="F22">
        <v>19</v>
      </c>
      <c r="G22" s="15" t="s">
        <v>1188</v>
      </c>
      <c r="H22" s="15" t="s">
        <v>481</v>
      </c>
      <c r="I22" s="16">
        <v>3</v>
      </c>
      <c r="K22">
        <v>19</v>
      </c>
      <c r="L22" s="15" t="s">
        <v>1039</v>
      </c>
      <c r="M22" s="15" t="s">
        <v>64</v>
      </c>
      <c r="N22" s="27">
        <v>950</v>
      </c>
      <c r="P22">
        <v>19</v>
      </c>
      <c r="Q22" s="22" t="s">
        <v>1389</v>
      </c>
      <c r="R22" s="22" t="s">
        <v>1290</v>
      </c>
      <c r="S22" s="18">
        <v>31</v>
      </c>
      <c r="U22">
        <v>19</v>
      </c>
      <c r="V22" s="15" t="s">
        <v>1084</v>
      </c>
      <c r="W22" s="15" t="s">
        <v>176</v>
      </c>
      <c r="X22" s="16">
        <v>18</v>
      </c>
    </row>
    <row r="23" spans="1:24" x14ac:dyDescent="0.35">
      <c r="A23">
        <v>20</v>
      </c>
      <c r="B23" s="15" t="s">
        <v>1282</v>
      </c>
      <c r="C23" s="15" t="s">
        <v>1283</v>
      </c>
      <c r="D23" s="18">
        <v>51</v>
      </c>
      <c r="F23">
        <v>20</v>
      </c>
      <c r="G23" s="15" t="s">
        <v>736</v>
      </c>
      <c r="H23" s="15" t="s">
        <v>737</v>
      </c>
      <c r="I23" s="16">
        <v>3</v>
      </c>
      <c r="K23">
        <v>20</v>
      </c>
      <c r="L23" s="22" t="s">
        <v>1274</v>
      </c>
      <c r="M23" s="22" t="s">
        <v>504</v>
      </c>
      <c r="N23" s="16">
        <v>817</v>
      </c>
      <c r="P23">
        <v>20</v>
      </c>
      <c r="Q23" s="24" t="s">
        <v>200</v>
      </c>
      <c r="R23" s="24" t="s">
        <v>201</v>
      </c>
      <c r="S23" s="18">
        <v>30</v>
      </c>
      <c r="U23">
        <v>20</v>
      </c>
      <c r="V23" s="15" t="s">
        <v>458</v>
      </c>
      <c r="W23" s="15" t="s">
        <v>459</v>
      </c>
      <c r="X23" s="21">
        <v>18</v>
      </c>
    </row>
    <row r="24" spans="1:24" x14ac:dyDescent="0.35">
      <c r="A24">
        <v>21</v>
      </c>
      <c r="B24" s="15" t="s">
        <v>1189</v>
      </c>
      <c r="C24" s="15" t="s">
        <v>1190</v>
      </c>
      <c r="D24" s="18">
        <v>51</v>
      </c>
      <c r="F24">
        <v>21</v>
      </c>
      <c r="G24" s="22" t="s">
        <v>1301</v>
      </c>
      <c r="H24" s="22" t="s">
        <v>1290</v>
      </c>
      <c r="I24" s="16">
        <v>3</v>
      </c>
      <c r="K24">
        <v>21</v>
      </c>
      <c r="L24" s="15" t="s">
        <v>205</v>
      </c>
      <c r="M24" s="15" t="s">
        <v>206</v>
      </c>
      <c r="N24" s="18">
        <v>809</v>
      </c>
      <c r="P24">
        <v>21</v>
      </c>
      <c r="Q24" s="22" t="s">
        <v>1397</v>
      </c>
      <c r="R24" s="22" t="s">
        <v>186</v>
      </c>
      <c r="S24" s="18">
        <v>30</v>
      </c>
      <c r="U24">
        <v>21</v>
      </c>
      <c r="V24" s="22" t="s">
        <v>1368</v>
      </c>
      <c r="W24" s="22" t="s">
        <v>400</v>
      </c>
      <c r="X24" s="16">
        <v>18</v>
      </c>
    </row>
    <row r="25" spans="1:24" x14ac:dyDescent="0.35">
      <c r="A25">
        <v>22</v>
      </c>
      <c r="B25" s="15" t="s">
        <v>718</v>
      </c>
      <c r="C25" s="15" t="s">
        <v>420</v>
      </c>
      <c r="D25" s="18">
        <v>51</v>
      </c>
      <c r="F25">
        <v>22</v>
      </c>
      <c r="G25" s="15" t="s">
        <v>1309</v>
      </c>
      <c r="H25" s="15" t="s">
        <v>42</v>
      </c>
      <c r="I25" s="21">
        <v>2</v>
      </c>
      <c r="K25">
        <v>22</v>
      </c>
      <c r="L25" s="22" t="s">
        <v>1336</v>
      </c>
      <c r="M25" s="22" t="s">
        <v>1337</v>
      </c>
      <c r="N25" s="16">
        <v>785</v>
      </c>
      <c r="P25">
        <v>22</v>
      </c>
      <c r="Q25" s="15" t="s">
        <v>520</v>
      </c>
      <c r="R25" s="15" t="s">
        <v>621</v>
      </c>
      <c r="S25" s="18">
        <v>29</v>
      </c>
      <c r="U25">
        <v>22</v>
      </c>
      <c r="V25" s="15" t="s">
        <v>1039</v>
      </c>
      <c r="W25" s="15" t="s">
        <v>64</v>
      </c>
      <c r="X25" s="16">
        <v>17</v>
      </c>
    </row>
    <row r="26" spans="1:24" x14ac:dyDescent="0.35">
      <c r="A26">
        <v>23</v>
      </c>
      <c r="B26" s="15" t="s">
        <v>1011</v>
      </c>
      <c r="C26" s="15" t="s">
        <v>726</v>
      </c>
      <c r="D26" s="18">
        <v>51</v>
      </c>
      <c r="F26">
        <v>23</v>
      </c>
      <c r="G26" s="15" t="s">
        <v>697</v>
      </c>
      <c r="H26" s="15" t="s">
        <v>473</v>
      </c>
      <c r="I26" s="21">
        <v>2</v>
      </c>
      <c r="K26">
        <v>23</v>
      </c>
      <c r="L26" s="15" t="s">
        <v>396</v>
      </c>
      <c r="M26" s="15" t="s">
        <v>398</v>
      </c>
      <c r="N26" s="16">
        <v>747</v>
      </c>
      <c r="P26">
        <v>23</v>
      </c>
      <c r="Q26" s="22" t="s">
        <v>1311</v>
      </c>
      <c r="R26" s="22" t="s">
        <v>1272</v>
      </c>
      <c r="S26" s="18">
        <v>29</v>
      </c>
      <c r="U26">
        <v>23</v>
      </c>
      <c r="V26" s="22" t="s">
        <v>1219</v>
      </c>
      <c r="W26" s="22" t="s">
        <v>1220</v>
      </c>
      <c r="X26" s="16">
        <v>16</v>
      </c>
    </row>
    <row r="27" spans="1:24" x14ac:dyDescent="0.35">
      <c r="A27">
        <v>24</v>
      </c>
      <c r="B27" s="15" t="s">
        <v>1123</v>
      </c>
      <c r="C27" s="15" t="s">
        <v>603</v>
      </c>
      <c r="D27" s="18">
        <v>50</v>
      </c>
      <c r="F27">
        <v>24</v>
      </c>
      <c r="G27" s="15" t="s">
        <v>755</v>
      </c>
      <c r="H27" s="15" t="s">
        <v>756</v>
      </c>
      <c r="I27" s="21">
        <v>2</v>
      </c>
      <c r="K27">
        <v>24</v>
      </c>
      <c r="L27" s="22" t="s">
        <v>1372</v>
      </c>
      <c r="M27" s="22" t="s">
        <v>342</v>
      </c>
      <c r="N27" s="18">
        <v>700</v>
      </c>
      <c r="P27">
        <v>24</v>
      </c>
      <c r="Q27" s="22" t="s">
        <v>1282</v>
      </c>
      <c r="R27" s="22" t="s">
        <v>1283</v>
      </c>
      <c r="S27" s="18">
        <v>28</v>
      </c>
      <c r="U27">
        <v>24</v>
      </c>
      <c r="V27" s="22" t="s">
        <v>1311</v>
      </c>
      <c r="W27" s="22" t="s">
        <v>1272</v>
      </c>
      <c r="X27" s="27">
        <v>16</v>
      </c>
    </row>
    <row r="28" spans="1:24" x14ac:dyDescent="0.35">
      <c r="A28">
        <v>25</v>
      </c>
      <c r="B28" s="18" t="s">
        <v>1174</v>
      </c>
      <c r="C28" s="18" t="s">
        <v>1075</v>
      </c>
      <c r="D28" s="18">
        <v>49</v>
      </c>
      <c r="F28">
        <v>25</v>
      </c>
      <c r="G28" s="22" t="s">
        <v>1219</v>
      </c>
      <c r="H28" s="22" t="s">
        <v>1220</v>
      </c>
      <c r="I28" s="21">
        <v>2</v>
      </c>
      <c r="K28">
        <v>25</v>
      </c>
      <c r="L28" s="15" t="s">
        <v>875</v>
      </c>
      <c r="M28" s="15" t="s">
        <v>726</v>
      </c>
      <c r="N28" s="18">
        <v>679</v>
      </c>
      <c r="P28">
        <v>25</v>
      </c>
      <c r="Q28" s="15" t="s">
        <v>1011</v>
      </c>
      <c r="R28" s="15" t="s">
        <v>726</v>
      </c>
      <c r="S28" s="18">
        <v>25</v>
      </c>
      <c r="U28">
        <v>25</v>
      </c>
      <c r="V28" s="22" t="s">
        <v>1282</v>
      </c>
      <c r="W28" s="22" t="s">
        <v>1283</v>
      </c>
      <c r="X28" s="16">
        <v>16</v>
      </c>
    </row>
    <row r="29" spans="1:24" x14ac:dyDescent="0.35">
      <c r="A29">
        <v>26</v>
      </c>
      <c r="B29" s="15" t="s">
        <v>1195</v>
      </c>
      <c r="C29" s="15" t="s">
        <v>110</v>
      </c>
      <c r="D29" s="18">
        <v>49</v>
      </c>
      <c r="F29">
        <v>26</v>
      </c>
      <c r="G29" s="15" t="s">
        <v>844</v>
      </c>
      <c r="H29" s="15" t="s">
        <v>811</v>
      </c>
      <c r="I29" s="21">
        <v>1</v>
      </c>
      <c r="K29">
        <v>26</v>
      </c>
      <c r="L29" s="15" t="s">
        <v>221</v>
      </c>
      <c r="M29" s="22" t="s">
        <v>589</v>
      </c>
      <c r="N29" s="18">
        <v>580</v>
      </c>
      <c r="P29">
        <v>26</v>
      </c>
      <c r="Q29" s="15" t="s">
        <v>221</v>
      </c>
      <c r="R29" s="22" t="s">
        <v>589</v>
      </c>
      <c r="S29" s="18">
        <v>25</v>
      </c>
      <c r="U29">
        <v>26</v>
      </c>
      <c r="V29" s="22" t="s">
        <v>173</v>
      </c>
      <c r="W29" s="22" t="s">
        <v>222</v>
      </c>
      <c r="X29" s="16">
        <v>15</v>
      </c>
    </row>
    <row r="30" spans="1:24" x14ac:dyDescent="0.35">
      <c r="A30">
        <v>27</v>
      </c>
      <c r="B30" s="18" t="s">
        <v>755</v>
      </c>
      <c r="C30" s="18" t="s">
        <v>756</v>
      </c>
      <c r="D30" s="18">
        <v>49</v>
      </c>
      <c r="F30">
        <v>27</v>
      </c>
      <c r="K30">
        <v>27</v>
      </c>
      <c r="L30" s="22" t="s">
        <v>1311</v>
      </c>
      <c r="M30" s="22" t="s">
        <v>1272</v>
      </c>
      <c r="N30" s="16">
        <v>569</v>
      </c>
      <c r="P30">
        <v>27</v>
      </c>
      <c r="Q30" s="22" t="s">
        <v>1174</v>
      </c>
      <c r="R30" s="22" t="s">
        <v>1075</v>
      </c>
      <c r="S30" s="18">
        <v>25</v>
      </c>
      <c r="U30">
        <v>27</v>
      </c>
      <c r="V30" s="22" t="s">
        <v>1301</v>
      </c>
      <c r="W30" s="22" t="s">
        <v>1290</v>
      </c>
      <c r="X30" s="16">
        <v>14</v>
      </c>
    </row>
    <row r="31" spans="1:24" x14ac:dyDescent="0.35">
      <c r="A31">
        <v>28</v>
      </c>
      <c r="B31" s="15" t="s">
        <v>1255</v>
      </c>
      <c r="C31" s="15" t="s">
        <v>265</v>
      </c>
      <c r="D31" s="18">
        <v>48</v>
      </c>
      <c r="F31">
        <v>28</v>
      </c>
      <c r="G31" s="1"/>
      <c r="H31" s="1"/>
      <c r="I31" s="2"/>
      <c r="K31">
        <v>28</v>
      </c>
      <c r="L31" s="22" t="s">
        <v>1174</v>
      </c>
      <c r="M31" s="22" t="s">
        <v>1075</v>
      </c>
      <c r="N31" s="18">
        <v>533</v>
      </c>
      <c r="P31">
        <v>28</v>
      </c>
      <c r="Q31" s="22" t="s">
        <v>1338</v>
      </c>
      <c r="R31" s="22" t="s">
        <v>1339</v>
      </c>
      <c r="S31" s="18">
        <v>25</v>
      </c>
      <c r="U31">
        <v>28</v>
      </c>
      <c r="V31" s="15" t="s">
        <v>396</v>
      </c>
      <c r="W31" s="15" t="s">
        <v>398</v>
      </c>
      <c r="X31" s="16">
        <v>14</v>
      </c>
    </row>
    <row r="32" spans="1:24" x14ac:dyDescent="0.35">
      <c r="A32">
        <v>29</v>
      </c>
      <c r="B32" s="15" t="s">
        <v>736</v>
      </c>
      <c r="C32" s="15" t="s">
        <v>737</v>
      </c>
      <c r="D32" s="18">
        <v>46</v>
      </c>
      <c r="F32">
        <v>29</v>
      </c>
      <c r="G32" s="1"/>
      <c r="H32" s="1"/>
      <c r="I32" s="2"/>
      <c r="K32">
        <v>29</v>
      </c>
      <c r="L32" s="22" t="s">
        <v>1219</v>
      </c>
      <c r="M32" s="22" t="s">
        <v>1220</v>
      </c>
      <c r="N32" s="16">
        <v>481</v>
      </c>
      <c r="P32">
        <v>29</v>
      </c>
      <c r="Q32" s="22" t="s">
        <v>1301</v>
      </c>
      <c r="R32" s="22" t="s">
        <v>1290</v>
      </c>
      <c r="S32" s="18">
        <v>23</v>
      </c>
      <c r="U32">
        <v>29</v>
      </c>
      <c r="V32" s="15" t="s">
        <v>718</v>
      </c>
      <c r="W32" s="15" t="s">
        <v>420</v>
      </c>
      <c r="X32" s="16">
        <v>14</v>
      </c>
    </row>
    <row r="33" spans="1:24" x14ac:dyDescent="0.35">
      <c r="A33">
        <v>30</v>
      </c>
      <c r="B33" s="15" t="s">
        <v>1336</v>
      </c>
      <c r="C33" s="15" t="s">
        <v>1337</v>
      </c>
      <c r="D33" s="18">
        <v>45</v>
      </c>
      <c r="F33">
        <v>30</v>
      </c>
      <c r="K33">
        <v>30</v>
      </c>
      <c r="L33" s="22" t="s">
        <v>1368</v>
      </c>
      <c r="M33" s="22" t="s">
        <v>400</v>
      </c>
      <c r="N33" s="18">
        <v>481</v>
      </c>
      <c r="P33">
        <v>30</v>
      </c>
      <c r="Q33" s="15" t="s">
        <v>705</v>
      </c>
      <c r="R33" s="15" t="s">
        <v>281</v>
      </c>
      <c r="S33" s="18">
        <v>22</v>
      </c>
      <c r="U33">
        <v>30</v>
      </c>
      <c r="V33" s="26" t="s">
        <v>470</v>
      </c>
      <c r="W33" s="30" t="s">
        <v>556</v>
      </c>
      <c r="X33" s="16">
        <v>13</v>
      </c>
    </row>
    <row r="34" spans="1:24" x14ac:dyDescent="0.35">
      <c r="A34">
        <v>31</v>
      </c>
      <c r="B34" s="15" t="s">
        <v>470</v>
      </c>
      <c r="C34" s="15" t="s">
        <v>556</v>
      </c>
      <c r="D34" s="18">
        <v>44</v>
      </c>
      <c r="F34">
        <v>31</v>
      </c>
      <c r="K34">
        <v>31</v>
      </c>
      <c r="L34" s="15" t="s">
        <v>755</v>
      </c>
      <c r="M34" s="15" t="s">
        <v>756</v>
      </c>
      <c r="N34" s="16">
        <v>460</v>
      </c>
      <c r="P34">
        <v>31</v>
      </c>
      <c r="Q34" s="15" t="s">
        <v>1189</v>
      </c>
      <c r="R34" s="15" t="s">
        <v>1190</v>
      </c>
      <c r="S34" s="18">
        <v>21</v>
      </c>
      <c r="U34">
        <v>31</v>
      </c>
      <c r="V34" s="22" t="s">
        <v>1374</v>
      </c>
      <c r="W34" s="22" t="s">
        <v>1375</v>
      </c>
      <c r="X34" s="16">
        <v>13</v>
      </c>
    </row>
    <row r="35" spans="1:24" x14ac:dyDescent="0.35">
      <c r="A35">
        <v>32</v>
      </c>
      <c r="B35" s="18" t="s">
        <v>1309</v>
      </c>
      <c r="C35" s="18" t="s">
        <v>42</v>
      </c>
      <c r="D35" s="18">
        <v>41</v>
      </c>
      <c r="F35">
        <v>32</v>
      </c>
      <c r="G35" s="1"/>
      <c r="H35" s="1"/>
      <c r="I35" s="2"/>
      <c r="K35">
        <v>32</v>
      </c>
      <c r="L35" s="22" t="s">
        <v>1417</v>
      </c>
      <c r="M35" s="22" t="s">
        <v>1418</v>
      </c>
      <c r="N35" s="16">
        <v>441</v>
      </c>
      <c r="P35">
        <v>32</v>
      </c>
      <c r="Q35" s="22" t="s">
        <v>1360</v>
      </c>
      <c r="R35" s="22" t="s">
        <v>224</v>
      </c>
      <c r="S35" s="18">
        <v>20</v>
      </c>
      <c r="U35">
        <v>32</v>
      </c>
      <c r="V35" s="15" t="s">
        <v>844</v>
      </c>
      <c r="W35" s="15" t="s">
        <v>811</v>
      </c>
      <c r="X35" s="21">
        <v>12</v>
      </c>
    </row>
    <row r="36" spans="1:24" x14ac:dyDescent="0.35">
      <c r="A36">
        <v>33</v>
      </c>
      <c r="B36" s="18" t="s">
        <v>844</v>
      </c>
      <c r="C36" s="18" t="s">
        <v>811</v>
      </c>
      <c r="D36" s="18">
        <v>41</v>
      </c>
      <c r="F36">
        <v>33</v>
      </c>
      <c r="G36" s="25"/>
      <c r="H36" s="25"/>
      <c r="I36" s="5"/>
      <c r="K36">
        <v>33</v>
      </c>
      <c r="L36" s="22" t="s">
        <v>1301</v>
      </c>
      <c r="M36" s="22" t="s">
        <v>1290</v>
      </c>
      <c r="N36" s="16">
        <v>437</v>
      </c>
      <c r="P36">
        <v>33</v>
      </c>
      <c r="Q36" s="15" t="s">
        <v>996</v>
      </c>
      <c r="R36" s="15" t="s">
        <v>561</v>
      </c>
      <c r="S36" s="18">
        <v>19</v>
      </c>
      <c r="U36">
        <v>33</v>
      </c>
      <c r="V36" s="15" t="s">
        <v>1197</v>
      </c>
      <c r="W36" s="15" t="s">
        <v>1264</v>
      </c>
      <c r="X36" s="21">
        <v>12</v>
      </c>
    </row>
    <row r="37" spans="1:24" x14ac:dyDescent="0.35">
      <c r="A37">
        <v>34</v>
      </c>
      <c r="B37" s="15" t="s">
        <v>1278</v>
      </c>
      <c r="C37" s="15" t="s">
        <v>175</v>
      </c>
      <c r="D37" s="18">
        <v>40</v>
      </c>
      <c r="F37">
        <v>34</v>
      </c>
      <c r="G37" s="1"/>
      <c r="H37" s="1"/>
      <c r="I37" s="2"/>
      <c r="K37">
        <v>34</v>
      </c>
      <c r="L37" s="22" t="s">
        <v>173</v>
      </c>
      <c r="M37" s="22" t="s">
        <v>222</v>
      </c>
      <c r="N37" s="18">
        <v>408</v>
      </c>
      <c r="P37">
        <v>34</v>
      </c>
      <c r="Q37" s="15" t="s">
        <v>1195</v>
      </c>
      <c r="R37" s="15" t="s">
        <v>110</v>
      </c>
      <c r="S37" s="18">
        <v>15</v>
      </c>
      <c r="U37">
        <v>34</v>
      </c>
      <c r="V37" s="31" t="s">
        <v>1277</v>
      </c>
      <c r="W37" s="31" t="s">
        <v>265</v>
      </c>
      <c r="X37" s="21">
        <v>11</v>
      </c>
    </row>
    <row r="38" spans="1:24" x14ac:dyDescent="0.35">
      <c r="A38">
        <v>35</v>
      </c>
      <c r="B38" s="15" t="s">
        <v>1219</v>
      </c>
      <c r="C38" s="15" t="s">
        <v>1220</v>
      </c>
      <c r="D38" s="18">
        <v>38</v>
      </c>
      <c r="F38">
        <v>35</v>
      </c>
      <c r="G38" s="1"/>
      <c r="H38" s="1"/>
      <c r="I38" s="2"/>
      <c r="K38">
        <v>35</v>
      </c>
      <c r="L38" s="22" t="s">
        <v>1374</v>
      </c>
      <c r="M38" s="22" t="s">
        <v>1375</v>
      </c>
      <c r="N38" s="18">
        <v>404</v>
      </c>
      <c r="P38">
        <v>35</v>
      </c>
      <c r="Q38" s="15" t="s">
        <v>697</v>
      </c>
      <c r="R38" s="15" t="s">
        <v>473</v>
      </c>
      <c r="S38" s="18">
        <v>15</v>
      </c>
      <c r="U38">
        <v>35</v>
      </c>
      <c r="V38" s="15" t="s">
        <v>1188</v>
      </c>
      <c r="W38" s="15" t="s">
        <v>481</v>
      </c>
      <c r="X38" s="21">
        <v>11</v>
      </c>
    </row>
    <row r="39" spans="1:24" x14ac:dyDescent="0.35">
      <c r="A39">
        <v>36</v>
      </c>
      <c r="B39" s="18" t="s">
        <v>1188</v>
      </c>
      <c r="C39" s="18" t="s">
        <v>481</v>
      </c>
      <c r="D39" s="18">
        <v>36</v>
      </c>
      <c r="F39">
        <v>36</v>
      </c>
      <c r="G39" s="1"/>
      <c r="H39" s="1"/>
      <c r="I39" s="2"/>
      <c r="K39">
        <v>36</v>
      </c>
      <c r="L39" s="22" t="s">
        <v>611</v>
      </c>
      <c r="M39" s="22" t="s">
        <v>1421</v>
      </c>
      <c r="N39" s="18">
        <v>377</v>
      </c>
      <c r="P39">
        <v>36</v>
      </c>
      <c r="Q39" s="24" t="s">
        <v>497</v>
      </c>
      <c r="R39" s="24" t="s">
        <v>190</v>
      </c>
      <c r="S39" s="18">
        <v>13</v>
      </c>
      <c r="U39">
        <v>36</v>
      </c>
      <c r="V39" s="15" t="s">
        <v>221</v>
      </c>
      <c r="W39" s="22" t="s">
        <v>589</v>
      </c>
      <c r="X39" s="21">
        <v>11</v>
      </c>
    </row>
    <row r="40" spans="1:24" x14ac:dyDescent="0.35">
      <c r="A40">
        <v>37</v>
      </c>
      <c r="B40" s="18" t="s">
        <v>1301</v>
      </c>
      <c r="C40" s="18" t="s">
        <v>1290</v>
      </c>
      <c r="D40" s="18">
        <v>35</v>
      </c>
      <c r="F40">
        <v>37</v>
      </c>
      <c r="G40" s="1"/>
      <c r="H40" s="1"/>
      <c r="I40" s="2"/>
      <c r="K40">
        <v>37</v>
      </c>
      <c r="L40" s="24" t="s">
        <v>705</v>
      </c>
      <c r="M40" s="24" t="s">
        <v>281</v>
      </c>
      <c r="N40" s="16">
        <v>355</v>
      </c>
      <c r="P40">
        <v>37</v>
      </c>
      <c r="Q40" s="22" t="s">
        <v>1417</v>
      </c>
      <c r="R40" s="22" t="s">
        <v>1418</v>
      </c>
      <c r="S40" s="18">
        <v>13</v>
      </c>
      <c r="U40">
        <v>37</v>
      </c>
      <c r="V40" s="22" t="s">
        <v>1174</v>
      </c>
      <c r="W40" s="31" t="s">
        <v>1075</v>
      </c>
      <c r="X40" s="16">
        <v>11</v>
      </c>
    </row>
    <row r="41" spans="1:24" x14ac:dyDescent="0.35">
      <c r="A41">
        <v>38</v>
      </c>
      <c r="B41" s="18" t="s">
        <v>1311</v>
      </c>
      <c r="C41" s="18" t="s">
        <v>1272</v>
      </c>
      <c r="D41" s="18">
        <v>32</v>
      </c>
      <c r="F41">
        <v>38</v>
      </c>
      <c r="G41" s="1"/>
      <c r="H41" s="1"/>
      <c r="I41" s="2"/>
      <c r="K41">
        <v>38</v>
      </c>
      <c r="L41" s="15" t="s">
        <v>1390</v>
      </c>
      <c r="M41" s="15" t="s">
        <v>498</v>
      </c>
      <c r="N41" s="18">
        <v>335</v>
      </c>
      <c r="P41">
        <v>38</v>
      </c>
      <c r="Q41" s="15" t="s">
        <v>1039</v>
      </c>
      <c r="R41" s="15" t="s">
        <v>64</v>
      </c>
      <c r="S41" s="18">
        <v>12</v>
      </c>
      <c r="U41">
        <v>38</v>
      </c>
      <c r="V41" s="22" t="s">
        <v>1358</v>
      </c>
      <c r="W41" s="22" t="s">
        <v>1359</v>
      </c>
      <c r="X41" s="16">
        <v>10</v>
      </c>
    </row>
    <row r="42" spans="1:24" x14ac:dyDescent="0.35">
      <c r="A42">
        <v>39</v>
      </c>
      <c r="B42" s="18" t="s">
        <v>1197</v>
      </c>
      <c r="C42" s="18" t="s">
        <v>1264</v>
      </c>
      <c r="D42" s="18">
        <v>29</v>
      </c>
      <c r="F42">
        <v>39</v>
      </c>
      <c r="G42" s="11"/>
      <c r="H42" s="11"/>
      <c r="I42" s="2"/>
      <c r="K42">
        <v>39</v>
      </c>
      <c r="L42" s="15" t="s">
        <v>736</v>
      </c>
      <c r="M42" s="15" t="s">
        <v>737</v>
      </c>
      <c r="N42" s="18">
        <v>332</v>
      </c>
      <c r="P42">
        <v>39</v>
      </c>
      <c r="Q42" s="22" t="s">
        <v>1274</v>
      </c>
      <c r="R42" s="22" t="s">
        <v>504</v>
      </c>
      <c r="S42" s="18">
        <v>12</v>
      </c>
      <c r="U42">
        <v>39</v>
      </c>
      <c r="V42" s="22" t="s">
        <v>1372</v>
      </c>
      <c r="W42" s="22" t="s">
        <v>342</v>
      </c>
      <c r="X42" s="21">
        <v>9</v>
      </c>
    </row>
    <row r="43" spans="1:24" x14ac:dyDescent="0.35">
      <c r="A43">
        <v>40</v>
      </c>
      <c r="B43" s="15" t="s">
        <v>1372</v>
      </c>
      <c r="C43" s="15" t="s">
        <v>342</v>
      </c>
      <c r="D43" s="18">
        <v>28</v>
      </c>
      <c r="F43">
        <v>40</v>
      </c>
      <c r="G43" s="1"/>
      <c r="H43" s="1"/>
      <c r="I43" s="2"/>
      <c r="K43">
        <v>40</v>
      </c>
      <c r="L43" s="15" t="s">
        <v>1309</v>
      </c>
      <c r="M43" s="15" t="s">
        <v>42</v>
      </c>
      <c r="N43" s="18">
        <v>332</v>
      </c>
      <c r="P43">
        <v>40</v>
      </c>
      <c r="Q43" s="18" t="s">
        <v>1336</v>
      </c>
      <c r="R43" s="18" t="s">
        <v>1337</v>
      </c>
      <c r="S43" s="18">
        <v>11</v>
      </c>
      <c r="U43">
        <v>40</v>
      </c>
      <c r="V43" s="22" t="s">
        <v>1338</v>
      </c>
      <c r="W43" s="22" t="s">
        <v>1339</v>
      </c>
      <c r="X43" s="21">
        <v>8</v>
      </c>
    </row>
    <row r="44" spans="1:24" x14ac:dyDescent="0.35">
      <c r="A44">
        <v>41</v>
      </c>
      <c r="B44" s="18" t="s">
        <v>297</v>
      </c>
      <c r="C44" s="18" t="s">
        <v>97</v>
      </c>
      <c r="D44" s="18">
        <v>28</v>
      </c>
      <c r="F44">
        <v>41</v>
      </c>
      <c r="G44" s="25"/>
      <c r="H44" s="25"/>
      <c r="I44" s="5"/>
      <c r="K44">
        <v>41</v>
      </c>
      <c r="L44" s="24" t="s">
        <v>470</v>
      </c>
      <c r="M44" s="24" t="s">
        <v>556</v>
      </c>
      <c r="N44" s="21">
        <v>308</v>
      </c>
      <c r="P44">
        <v>41</v>
      </c>
      <c r="Q44" s="22" t="s">
        <v>611</v>
      </c>
      <c r="R44" s="22" t="s">
        <v>1421</v>
      </c>
      <c r="S44" s="18">
        <v>11</v>
      </c>
      <c r="U44">
        <v>41</v>
      </c>
      <c r="V44" s="15" t="s">
        <v>297</v>
      </c>
      <c r="W44" s="15" t="s">
        <v>97</v>
      </c>
      <c r="X44" s="21">
        <v>8</v>
      </c>
    </row>
    <row r="45" spans="1:24" x14ac:dyDescent="0.35">
      <c r="A45">
        <v>42</v>
      </c>
      <c r="B45" s="18" t="s">
        <v>1340</v>
      </c>
      <c r="C45" s="18" t="s">
        <v>603</v>
      </c>
      <c r="D45" s="18">
        <v>28</v>
      </c>
      <c r="F45">
        <v>42</v>
      </c>
      <c r="G45" s="1"/>
      <c r="H45" s="1"/>
      <c r="I45" s="2"/>
      <c r="K45">
        <v>42</v>
      </c>
      <c r="L45" s="15" t="s">
        <v>1255</v>
      </c>
      <c r="M45" s="15" t="s">
        <v>265</v>
      </c>
      <c r="N45" s="16">
        <v>307</v>
      </c>
      <c r="P45">
        <v>42</v>
      </c>
      <c r="Q45" s="22" t="s">
        <v>1410</v>
      </c>
      <c r="R45" s="22" t="s">
        <v>1411</v>
      </c>
      <c r="S45" s="18">
        <v>11</v>
      </c>
      <c r="U45">
        <v>42</v>
      </c>
      <c r="V45" s="15" t="s">
        <v>246</v>
      </c>
      <c r="W45" s="15" t="s">
        <v>895</v>
      </c>
      <c r="X45" s="16">
        <v>8</v>
      </c>
    </row>
    <row r="46" spans="1:24" x14ac:dyDescent="0.35">
      <c r="A46">
        <v>43</v>
      </c>
      <c r="B46" s="18" t="s">
        <v>1374</v>
      </c>
      <c r="C46" s="18" t="s">
        <v>1375</v>
      </c>
      <c r="D46" s="18">
        <v>25</v>
      </c>
      <c r="F46">
        <v>43</v>
      </c>
      <c r="G46" s="1"/>
      <c r="H46" s="1"/>
      <c r="I46" s="2"/>
      <c r="K46">
        <v>43</v>
      </c>
      <c r="L46" s="22" t="s">
        <v>1282</v>
      </c>
      <c r="M46" s="22" t="s">
        <v>1283</v>
      </c>
      <c r="N46" s="16">
        <v>276</v>
      </c>
      <c r="P46">
        <v>43</v>
      </c>
      <c r="Q46" s="15" t="s">
        <v>297</v>
      </c>
      <c r="R46" s="15" t="s">
        <v>97</v>
      </c>
      <c r="S46" s="18">
        <v>10</v>
      </c>
      <c r="U46">
        <v>43</v>
      </c>
      <c r="V46" s="15" t="s">
        <v>789</v>
      </c>
      <c r="W46" s="15" t="s">
        <v>96</v>
      </c>
      <c r="X46" s="16">
        <v>8</v>
      </c>
    </row>
    <row r="47" spans="1:24" x14ac:dyDescent="0.35">
      <c r="A47">
        <v>44</v>
      </c>
      <c r="B47" s="15" t="s">
        <v>1358</v>
      </c>
      <c r="C47" s="15" t="s">
        <v>1359</v>
      </c>
      <c r="D47" s="18">
        <v>24</v>
      </c>
      <c r="F47">
        <v>44</v>
      </c>
      <c r="G47" s="1"/>
      <c r="H47" s="1"/>
      <c r="I47" s="2"/>
      <c r="K47">
        <v>44</v>
      </c>
      <c r="L47" s="15" t="s">
        <v>844</v>
      </c>
      <c r="M47" s="15" t="s">
        <v>811</v>
      </c>
      <c r="N47" s="16">
        <v>261</v>
      </c>
      <c r="P47">
        <v>44</v>
      </c>
      <c r="Q47" s="22" t="s">
        <v>1123</v>
      </c>
      <c r="R47" s="22" t="s">
        <v>603</v>
      </c>
      <c r="S47" s="18">
        <v>9</v>
      </c>
      <c r="U47">
        <v>44</v>
      </c>
      <c r="V47" s="22" t="s">
        <v>1278</v>
      </c>
      <c r="W47" s="22" t="s">
        <v>175</v>
      </c>
      <c r="X47" s="16">
        <v>7</v>
      </c>
    </row>
    <row r="48" spans="1:24" x14ac:dyDescent="0.35">
      <c r="A48">
        <v>45</v>
      </c>
      <c r="B48" s="15" t="s">
        <v>1389</v>
      </c>
      <c r="C48" s="15" t="s">
        <v>1290</v>
      </c>
      <c r="D48" s="18">
        <v>24</v>
      </c>
      <c r="F48">
        <v>45</v>
      </c>
      <c r="G48" s="11"/>
      <c r="H48" s="11"/>
      <c r="I48" s="2"/>
      <c r="K48">
        <v>45</v>
      </c>
      <c r="L48" s="15" t="s">
        <v>789</v>
      </c>
      <c r="M48" s="15" t="s">
        <v>96</v>
      </c>
      <c r="N48" s="16">
        <v>251</v>
      </c>
      <c r="P48">
        <v>45</v>
      </c>
      <c r="Q48" s="15" t="s">
        <v>396</v>
      </c>
      <c r="R48" s="15" t="s">
        <v>398</v>
      </c>
      <c r="S48" s="18">
        <v>9</v>
      </c>
      <c r="U48">
        <v>45</v>
      </c>
      <c r="V48" s="15" t="s">
        <v>1011</v>
      </c>
      <c r="W48" s="15" t="s">
        <v>726</v>
      </c>
      <c r="X48" s="16">
        <v>7</v>
      </c>
    </row>
    <row r="49" spans="1:24" x14ac:dyDescent="0.35">
      <c r="A49">
        <v>46</v>
      </c>
      <c r="B49" s="15" t="s">
        <v>1395</v>
      </c>
      <c r="C49" s="15" t="s">
        <v>118</v>
      </c>
      <c r="D49" s="18">
        <v>24</v>
      </c>
      <c r="F49">
        <v>46</v>
      </c>
      <c r="G49" s="1"/>
      <c r="H49" s="1"/>
      <c r="I49" s="2"/>
      <c r="K49">
        <v>46</v>
      </c>
      <c r="L49" s="22" t="s">
        <v>1278</v>
      </c>
      <c r="M49" s="22" t="s">
        <v>175</v>
      </c>
      <c r="N49" s="16">
        <v>227</v>
      </c>
      <c r="P49">
        <v>46</v>
      </c>
      <c r="Q49" s="22" t="s">
        <v>1374</v>
      </c>
      <c r="R49" s="22" t="s">
        <v>1375</v>
      </c>
      <c r="S49" s="18">
        <v>8</v>
      </c>
      <c r="U49">
        <v>46</v>
      </c>
      <c r="V49" s="15" t="s">
        <v>705</v>
      </c>
      <c r="W49" s="15" t="s">
        <v>281</v>
      </c>
      <c r="X49" s="16">
        <v>7</v>
      </c>
    </row>
    <row r="50" spans="1:24" x14ac:dyDescent="0.35">
      <c r="A50">
        <v>47</v>
      </c>
      <c r="B50" s="15" t="s">
        <v>1338</v>
      </c>
      <c r="C50" s="15" t="s">
        <v>1339</v>
      </c>
      <c r="D50" s="18">
        <v>24</v>
      </c>
      <c r="F50">
        <v>47</v>
      </c>
      <c r="G50" s="1"/>
      <c r="H50" s="1"/>
      <c r="I50" s="2"/>
      <c r="K50">
        <v>47</v>
      </c>
      <c r="L50" s="22" t="s">
        <v>1389</v>
      </c>
      <c r="M50" s="22" t="s">
        <v>1290</v>
      </c>
      <c r="N50" s="16">
        <v>216</v>
      </c>
      <c r="P50">
        <v>47</v>
      </c>
      <c r="Q50" s="22" t="s">
        <v>1435</v>
      </c>
      <c r="R50" s="22" t="s">
        <v>417</v>
      </c>
      <c r="S50" s="18">
        <v>8</v>
      </c>
      <c r="U50">
        <v>47</v>
      </c>
      <c r="V50" s="22" t="s">
        <v>1340</v>
      </c>
      <c r="W50" s="31" t="s">
        <v>603</v>
      </c>
      <c r="X50" s="16">
        <v>7</v>
      </c>
    </row>
    <row r="51" spans="1:24" x14ac:dyDescent="0.35">
      <c r="A51">
        <v>48</v>
      </c>
      <c r="B51" s="15" t="s">
        <v>1397</v>
      </c>
      <c r="C51" s="15" t="s">
        <v>186</v>
      </c>
      <c r="D51" s="18">
        <v>23</v>
      </c>
      <c r="F51">
        <v>48</v>
      </c>
      <c r="G51" s="1"/>
      <c r="H51" s="1"/>
      <c r="I51" s="2"/>
      <c r="K51">
        <v>48</v>
      </c>
      <c r="L51" s="22" t="s">
        <v>808</v>
      </c>
      <c r="M51" s="22" t="s">
        <v>1412</v>
      </c>
      <c r="N51" s="16">
        <v>214</v>
      </c>
      <c r="P51">
        <v>48</v>
      </c>
      <c r="Q51" s="15" t="s">
        <v>607</v>
      </c>
      <c r="R51" s="15" t="s">
        <v>353</v>
      </c>
      <c r="S51" s="18">
        <v>7</v>
      </c>
      <c r="U51">
        <v>48</v>
      </c>
      <c r="V51" s="15" t="s">
        <v>755</v>
      </c>
      <c r="W51" s="15" t="s">
        <v>756</v>
      </c>
      <c r="X51" s="16">
        <v>6</v>
      </c>
    </row>
    <row r="52" spans="1:24" x14ac:dyDescent="0.35">
      <c r="A52">
        <v>49</v>
      </c>
      <c r="B52" s="15" t="s">
        <v>1360</v>
      </c>
      <c r="C52" s="15" t="s">
        <v>224</v>
      </c>
      <c r="D52" s="18">
        <v>23</v>
      </c>
      <c r="F52">
        <v>49</v>
      </c>
      <c r="K52">
        <v>49</v>
      </c>
      <c r="L52" s="15" t="s">
        <v>246</v>
      </c>
      <c r="M52" s="15" t="s">
        <v>895</v>
      </c>
      <c r="N52" s="27">
        <v>198</v>
      </c>
      <c r="P52">
        <v>49</v>
      </c>
      <c r="Q52" s="15" t="s">
        <v>1084</v>
      </c>
      <c r="R52" s="15" t="s">
        <v>567</v>
      </c>
      <c r="S52" s="18">
        <v>7</v>
      </c>
      <c r="U52">
        <v>49</v>
      </c>
      <c r="V52" s="15" t="s">
        <v>520</v>
      </c>
      <c r="W52" s="15" t="s">
        <v>621</v>
      </c>
      <c r="X52" s="16">
        <v>6</v>
      </c>
    </row>
    <row r="53" spans="1:24" x14ac:dyDescent="0.35">
      <c r="A53">
        <v>50</v>
      </c>
      <c r="B53" s="15" t="s">
        <v>1368</v>
      </c>
      <c r="C53" s="15" t="s">
        <v>400</v>
      </c>
      <c r="D53" s="18">
        <v>21</v>
      </c>
      <c r="F53">
        <v>50</v>
      </c>
      <c r="G53" s="1"/>
      <c r="H53" s="1"/>
      <c r="I53" s="2"/>
      <c r="K53">
        <v>50</v>
      </c>
      <c r="L53" s="24" t="s">
        <v>1197</v>
      </c>
      <c r="M53" s="24" t="s">
        <v>1264</v>
      </c>
      <c r="N53" s="16">
        <v>154</v>
      </c>
      <c r="P53">
        <v>50</v>
      </c>
      <c r="Q53" s="31" t="s">
        <v>1423</v>
      </c>
      <c r="R53" s="31" t="s">
        <v>1424</v>
      </c>
      <c r="S53" s="18">
        <v>6</v>
      </c>
      <c r="U53">
        <v>50</v>
      </c>
      <c r="V53" s="22" t="s">
        <v>1389</v>
      </c>
      <c r="W53" s="22" t="s">
        <v>1290</v>
      </c>
      <c r="X53" s="16">
        <v>5</v>
      </c>
    </row>
    <row r="54" spans="1:24" x14ac:dyDescent="0.35">
      <c r="L54" s="1"/>
      <c r="M54" s="1"/>
      <c r="N54" s="2"/>
      <c r="Q54" s="1"/>
      <c r="R54" s="1"/>
      <c r="V54" s="1"/>
      <c r="W54" s="1"/>
    </row>
    <row r="55" spans="1:24" x14ac:dyDescent="0.35">
      <c r="L55" s="11"/>
      <c r="M55" s="11"/>
      <c r="N55" s="2"/>
      <c r="Q55" s="1"/>
      <c r="R55" s="1"/>
    </row>
    <row r="56" spans="1:24" x14ac:dyDescent="0.35">
      <c r="L56" s="1"/>
      <c r="M56" s="1"/>
      <c r="N56" s="2"/>
      <c r="Q56" s="1"/>
      <c r="R56" s="1"/>
    </row>
    <row r="57" spans="1:24" x14ac:dyDescent="0.35">
      <c r="L57" s="1"/>
      <c r="M57" s="1"/>
      <c r="N57" s="2"/>
      <c r="Q57" s="1"/>
      <c r="R57" s="1"/>
    </row>
    <row r="58" spans="1:24" x14ac:dyDescent="0.35">
      <c r="L58" s="1"/>
      <c r="M58" s="1"/>
      <c r="N58" s="2"/>
      <c r="Q58" s="11"/>
      <c r="R58" s="11"/>
    </row>
    <row r="59" spans="1:24" x14ac:dyDescent="0.35">
      <c r="Q59" s="1"/>
      <c r="R59" s="1"/>
    </row>
    <row r="60" spans="1:24" x14ac:dyDescent="0.35">
      <c r="Q60" s="1"/>
      <c r="R60" s="1"/>
      <c r="V60" s="1"/>
      <c r="W60" s="1"/>
    </row>
    <row r="61" spans="1:24" x14ac:dyDescent="0.35">
      <c r="V61" s="1"/>
      <c r="W61" s="1"/>
    </row>
    <row r="62" spans="1:24" x14ac:dyDescent="0.35">
      <c r="Q62" s="1"/>
      <c r="R62" s="1"/>
      <c r="V62" s="1"/>
      <c r="W62" s="1"/>
    </row>
    <row r="63" spans="1:24" x14ac:dyDescent="0.35">
      <c r="Q63" s="1"/>
      <c r="R63" s="1"/>
      <c r="V63" s="1"/>
      <c r="W63" s="1"/>
    </row>
    <row r="64" spans="1:24" x14ac:dyDescent="0.35">
      <c r="Q64" s="11"/>
      <c r="R64" s="11"/>
      <c r="V64" s="11"/>
      <c r="W64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C872-73D0-4D6D-B51E-C2FC0B238C18}">
  <dimension ref="A1:AG124"/>
  <sheetViews>
    <sheetView topLeftCell="A11" workbookViewId="0">
      <selection activeCell="AA17" sqref="AA17"/>
    </sheetView>
  </sheetViews>
  <sheetFormatPr defaultRowHeight="14.5" x14ac:dyDescent="0.35"/>
  <cols>
    <col min="1" max="1" width="14.6328125" bestFit="1" customWidth="1"/>
    <col min="2" max="2" width="12.26953125" bestFit="1" customWidth="1"/>
    <col min="3" max="3" width="12.54296875" bestFit="1" customWidth="1"/>
    <col min="4" max="4" width="15.7265625" bestFit="1" customWidth="1"/>
    <col min="5" max="5" width="11.453125" bestFit="1" customWidth="1"/>
    <col min="6" max="6" width="8.1796875" bestFit="1" customWidth="1"/>
    <col min="7" max="7" width="5.26953125" bestFit="1" customWidth="1"/>
    <col min="8" max="8" width="9.54296875" bestFit="1" customWidth="1"/>
    <col min="9" max="9" width="12" bestFit="1" customWidth="1"/>
    <col min="10" max="10" width="13.90625" bestFit="1" customWidth="1"/>
    <col min="11" max="11" width="9.6328125" bestFit="1" customWidth="1"/>
    <col min="12" max="12" width="3.6328125" bestFit="1" customWidth="1"/>
    <col min="13" max="13" width="4.6328125" bestFit="1" customWidth="1"/>
    <col min="14" max="14" width="9.7265625" bestFit="1" customWidth="1"/>
    <col min="15" max="15" width="13.26953125" bestFit="1" customWidth="1"/>
    <col min="16" max="16" width="12.26953125" bestFit="1" customWidth="1"/>
    <col min="17" max="17" width="12.54296875" bestFit="1" customWidth="1"/>
    <col min="18" max="18" width="5.81640625" bestFit="1" customWidth="1"/>
    <col min="19" max="19" width="8.453125" bestFit="1" customWidth="1"/>
    <col min="20" max="20" width="8.36328125" bestFit="1" customWidth="1"/>
    <col min="21" max="21" width="8.1796875" bestFit="1" customWidth="1"/>
    <col min="22" max="22" width="8.36328125" bestFit="1" customWidth="1"/>
    <col min="24" max="24" width="10.453125" bestFit="1" customWidth="1"/>
    <col min="25" max="25" width="9.7265625" bestFit="1" customWidth="1"/>
    <col min="26" max="26" width="12.54296875" bestFit="1" customWidth="1"/>
    <col min="27" max="27" width="14.6328125" bestFit="1" customWidth="1"/>
    <col min="28" max="28" width="12.26953125" bestFit="1" customWidth="1"/>
    <col min="29" max="29" width="12.54296875" bestFit="1" customWidth="1"/>
    <col min="30" max="30" width="9.453125" bestFit="1" customWidth="1"/>
  </cols>
  <sheetData>
    <row r="1" spans="1:33" x14ac:dyDescent="0.35">
      <c r="A1" t="s">
        <v>0</v>
      </c>
      <c r="B1" t="s">
        <v>1</v>
      </c>
      <c r="C1" t="s">
        <v>1206</v>
      </c>
      <c r="D1" t="s">
        <v>1121</v>
      </c>
      <c r="E1" t="s">
        <v>1122</v>
      </c>
      <c r="F1" t="s">
        <v>1093</v>
      </c>
      <c r="G1" t="s">
        <v>1097</v>
      </c>
      <c r="H1" t="s">
        <v>1203</v>
      </c>
      <c r="I1" t="s">
        <v>10</v>
      </c>
      <c r="J1" t="s">
        <v>1094</v>
      </c>
      <c r="K1" t="s">
        <v>1489</v>
      </c>
      <c r="L1" t="s">
        <v>1095</v>
      </c>
      <c r="M1" t="s">
        <v>1096</v>
      </c>
      <c r="O1" t="s">
        <v>0</v>
      </c>
      <c r="P1" t="s">
        <v>1</v>
      </c>
      <c r="Q1" t="s">
        <v>1206</v>
      </c>
      <c r="R1" t="s">
        <v>2</v>
      </c>
      <c r="S1" t="s">
        <v>1098</v>
      </c>
      <c r="T1" t="s">
        <v>4</v>
      </c>
      <c r="U1" t="s">
        <v>5</v>
      </c>
      <c r="V1" t="s">
        <v>6</v>
      </c>
      <c r="W1" t="s">
        <v>7</v>
      </c>
      <c r="X1" t="s">
        <v>1099</v>
      </c>
      <c r="AA1" t="s">
        <v>0</v>
      </c>
      <c r="AB1" t="s">
        <v>1</v>
      </c>
      <c r="AC1" t="s">
        <v>1206</v>
      </c>
      <c r="AD1" t="s">
        <v>1100</v>
      </c>
      <c r="AE1" t="s">
        <v>1207</v>
      </c>
      <c r="AF1" t="s">
        <v>1204</v>
      </c>
      <c r="AG1" t="s">
        <v>1205</v>
      </c>
    </row>
    <row r="2" spans="1:33" x14ac:dyDescent="0.35">
      <c r="A2" t="s">
        <v>1114</v>
      </c>
      <c r="B2" t="s">
        <v>1115</v>
      </c>
      <c r="C2">
        <v>1</v>
      </c>
      <c r="D2">
        <v>1</v>
      </c>
      <c r="E2">
        <f>D2+F2</f>
        <v>1</v>
      </c>
      <c r="F2">
        <v>0</v>
      </c>
      <c r="G2">
        <v>0</v>
      </c>
      <c r="H2">
        <v>2</v>
      </c>
      <c r="I2">
        <v>2</v>
      </c>
      <c r="J2">
        <f>H2/D2</f>
        <v>2</v>
      </c>
      <c r="K2" t="s">
        <v>1454</v>
      </c>
      <c r="L2">
        <v>0</v>
      </c>
      <c r="M2">
        <v>0</v>
      </c>
      <c r="O2" t="s">
        <v>1114</v>
      </c>
      <c r="P2" t="s">
        <v>1115</v>
      </c>
      <c r="Q2">
        <v>1</v>
      </c>
      <c r="R2">
        <v>4</v>
      </c>
      <c r="S2">
        <v>3</v>
      </c>
      <c r="T2">
        <v>20</v>
      </c>
      <c r="U2" s="3">
        <f>T2/R2</f>
        <v>5</v>
      </c>
      <c r="V2" s="3">
        <f>T2/S2</f>
        <v>6.666666666666667</v>
      </c>
      <c r="W2" s="4">
        <f>R2*6/S2</f>
        <v>8</v>
      </c>
      <c r="X2" t="s">
        <v>1341</v>
      </c>
      <c r="AA2" t="s">
        <v>27</v>
      </c>
      <c r="AB2" t="s">
        <v>28</v>
      </c>
      <c r="AC2">
        <v>2</v>
      </c>
      <c r="AD2">
        <v>1</v>
      </c>
      <c r="AE2" s="3">
        <f>AD2/AC2</f>
        <v>0.5</v>
      </c>
    </row>
    <row r="3" spans="1:33" x14ac:dyDescent="0.35">
      <c r="A3" t="s">
        <v>19</v>
      </c>
      <c r="B3" t="s">
        <v>1272</v>
      </c>
      <c r="C3">
        <v>4</v>
      </c>
      <c r="D3">
        <v>1</v>
      </c>
      <c r="E3">
        <f>D3+F3</f>
        <v>1</v>
      </c>
      <c r="F3">
        <v>0</v>
      </c>
      <c r="G3">
        <v>3</v>
      </c>
      <c r="H3">
        <v>0</v>
      </c>
      <c r="I3">
        <v>0</v>
      </c>
      <c r="J3" s="3">
        <f>H3/D3</f>
        <v>0</v>
      </c>
      <c r="K3" t="s">
        <v>1454</v>
      </c>
      <c r="L3">
        <v>0</v>
      </c>
      <c r="M3">
        <v>0</v>
      </c>
      <c r="O3" t="s">
        <v>19</v>
      </c>
      <c r="P3" t="s">
        <v>1272</v>
      </c>
      <c r="Q3">
        <v>4</v>
      </c>
      <c r="R3">
        <v>8.1999999999999993</v>
      </c>
      <c r="S3">
        <v>0</v>
      </c>
      <c r="T3">
        <f>45+21</f>
        <v>66</v>
      </c>
      <c r="U3" s="3">
        <f>T3/R3</f>
        <v>8.0487804878048781</v>
      </c>
      <c r="V3" s="3" t="e">
        <f>T3/S3</f>
        <v>#DIV/0!</v>
      </c>
      <c r="W3" s="4" t="e">
        <f>R3*6/S3</f>
        <v>#DIV/0!</v>
      </c>
      <c r="X3" t="s">
        <v>1490</v>
      </c>
      <c r="AA3" t="s">
        <v>33</v>
      </c>
      <c r="AB3" t="s">
        <v>35</v>
      </c>
      <c r="AC3">
        <v>11</v>
      </c>
      <c r="AD3">
        <v>3</v>
      </c>
      <c r="AE3" s="3">
        <f>AD3/AC3</f>
        <v>0.27272727272727271</v>
      </c>
      <c r="AG3">
        <v>4</v>
      </c>
    </row>
    <row r="4" spans="1:33" x14ac:dyDescent="0.35">
      <c r="A4" t="s">
        <v>21</v>
      </c>
      <c r="B4" t="s">
        <v>22</v>
      </c>
      <c r="C4">
        <v>2</v>
      </c>
      <c r="D4">
        <v>2</v>
      </c>
      <c r="E4">
        <f>D4+F4</f>
        <v>2</v>
      </c>
      <c r="F4">
        <v>0</v>
      </c>
      <c r="G4">
        <v>0</v>
      </c>
      <c r="H4">
        <v>81</v>
      </c>
      <c r="I4">
        <v>54</v>
      </c>
      <c r="J4">
        <f>H4/D4</f>
        <v>40.5</v>
      </c>
      <c r="K4" t="s">
        <v>1454</v>
      </c>
      <c r="L4">
        <v>1</v>
      </c>
      <c r="M4">
        <v>0</v>
      </c>
      <c r="O4" t="s">
        <v>25</v>
      </c>
      <c r="P4" t="s">
        <v>26</v>
      </c>
      <c r="Q4">
        <v>6</v>
      </c>
      <c r="R4">
        <v>1</v>
      </c>
      <c r="S4">
        <v>0</v>
      </c>
      <c r="T4">
        <v>4</v>
      </c>
      <c r="U4" s="3">
        <f>T4/R4</f>
        <v>4</v>
      </c>
      <c r="V4" s="3" t="e">
        <f>T4/S4</f>
        <v>#DIV/0!</v>
      </c>
      <c r="W4" s="4" t="e">
        <f>R4*6/S4</f>
        <v>#DIV/0!</v>
      </c>
      <c r="X4" t="s">
        <v>1436</v>
      </c>
      <c r="AA4" t="s">
        <v>1456</v>
      </c>
      <c r="AB4" t="s">
        <v>1110</v>
      </c>
      <c r="AC4">
        <v>8</v>
      </c>
      <c r="AD4">
        <v>3</v>
      </c>
      <c r="AE4" s="3">
        <f>AD4/AC4</f>
        <v>0.375</v>
      </c>
      <c r="AF4">
        <v>1</v>
      </c>
    </row>
    <row r="5" spans="1:33" x14ac:dyDescent="0.35">
      <c r="A5" t="s">
        <v>25</v>
      </c>
      <c r="B5" t="s">
        <v>26</v>
      </c>
      <c r="C5">
        <v>7</v>
      </c>
      <c r="D5">
        <v>6</v>
      </c>
      <c r="E5">
        <f>D5+F5</f>
        <v>7</v>
      </c>
      <c r="F5">
        <v>1</v>
      </c>
      <c r="G5">
        <v>0</v>
      </c>
      <c r="H5">
        <v>215</v>
      </c>
      <c r="I5">
        <v>57</v>
      </c>
      <c r="J5" s="3">
        <f>H5/D5</f>
        <v>35.833333333333336</v>
      </c>
      <c r="K5" t="s">
        <v>1454</v>
      </c>
      <c r="L5">
        <v>1</v>
      </c>
      <c r="M5">
        <v>0</v>
      </c>
      <c r="O5" t="s">
        <v>27</v>
      </c>
      <c r="P5" t="s">
        <v>31</v>
      </c>
      <c r="Q5">
        <v>8</v>
      </c>
      <c r="R5">
        <v>0</v>
      </c>
      <c r="S5">
        <v>1</v>
      </c>
      <c r="T5">
        <v>0</v>
      </c>
      <c r="U5" s="3" t="e">
        <f>S5/R5</f>
        <v>#DIV/0!</v>
      </c>
      <c r="V5" s="3">
        <f>T5/S5</f>
        <v>0</v>
      </c>
      <c r="W5" s="4">
        <f>R5*6/S5</f>
        <v>0</v>
      </c>
      <c r="X5">
        <v>1</v>
      </c>
      <c r="AA5" s="18" t="s">
        <v>1358</v>
      </c>
      <c r="AB5" s="18" t="s">
        <v>1359</v>
      </c>
      <c r="AC5" s="18">
        <v>17</v>
      </c>
      <c r="AD5" s="18">
        <v>5</v>
      </c>
      <c r="AE5" s="19">
        <f>AD5/AC5</f>
        <v>0.29411764705882354</v>
      </c>
      <c r="AF5" s="18">
        <v>3</v>
      </c>
      <c r="AG5" s="18"/>
    </row>
    <row r="6" spans="1:33" x14ac:dyDescent="0.35">
      <c r="A6" t="s">
        <v>27</v>
      </c>
      <c r="B6" t="s">
        <v>31</v>
      </c>
      <c r="C6">
        <v>8</v>
      </c>
      <c r="D6">
        <v>6</v>
      </c>
      <c r="E6">
        <f>D6+F6</f>
        <v>8</v>
      </c>
      <c r="F6">
        <v>2</v>
      </c>
      <c r="G6">
        <v>0</v>
      </c>
      <c r="H6">
        <v>165</v>
      </c>
      <c r="I6">
        <v>64</v>
      </c>
      <c r="J6" s="3">
        <f>H6/D6</f>
        <v>27.5</v>
      </c>
      <c r="K6" t="s">
        <v>1454</v>
      </c>
      <c r="L6">
        <v>1</v>
      </c>
      <c r="M6">
        <v>0</v>
      </c>
      <c r="O6" t="s">
        <v>33</v>
      </c>
      <c r="P6" t="s">
        <v>35</v>
      </c>
      <c r="Q6">
        <v>11</v>
      </c>
      <c r="R6">
        <v>2</v>
      </c>
      <c r="S6">
        <v>1</v>
      </c>
      <c r="T6">
        <v>3</v>
      </c>
      <c r="U6" s="3">
        <f>T6/R6</f>
        <v>1.5</v>
      </c>
      <c r="V6" s="3">
        <f>T6/S6</f>
        <v>3</v>
      </c>
      <c r="W6" s="4">
        <f>R6*6/S6</f>
        <v>12</v>
      </c>
      <c r="X6" t="s">
        <v>1320</v>
      </c>
      <c r="AA6" s="18" t="s">
        <v>1374</v>
      </c>
      <c r="AB6" s="18" t="s">
        <v>1375</v>
      </c>
      <c r="AC6" s="18">
        <v>2</v>
      </c>
      <c r="AD6" s="18"/>
      <c r="AE6" s="18"/>
      <c r="AF6" s="18">
        <v>1</v>
      </c>
      <c r="AG6" s="18"/>
    </row>
    <row r="7" spans="1:33" x14ac:dyDescent="0.35">
      <c r="A7" t="s">
        <v>27</v>
      </c>
      <c r="B7" t="s">
        <v>28</v>
      </c>
      <c r="C7">
        <v>2</v>
      </c>
      <c r="D7">
        <v>0</v>
      </c>
      <c r="E7">
        <f>D7+F7</f>
        <v>0</v>
      </c>
      <c r="F7">
        <v>0</v>
      </c>
      <c r="G7">
        <v>0</v>
      </c>
      <c r="H7">
        <v>41</v>
      </c>
      <c r="I7" t="s">
        <v>1455</v>
      </c>
      <c r="J7" s="3">
        <v>41</v>
      </c>
      <c r="K7" t="s">
        <v>1454</v>
      </c>
      <c r="L7">
        <v>0</v>
      </c>
      <c r="M7">
        <v>0</v>
      </c>
      <c r="O7" t="s">
        <v>1456</v>
      </c>
      <c r="P7" t="s">
        <v>1110</v>
      </c>
      <c r="Q7">
        <v>8</v>
      </c>
      <c r="R7">
        <v>26</v>
      </c>
      <c r="S7">
        <v>9</v>
      </c>
      <c r="T7">
        <f>99+72</f>
        <v>171</v>
      </c>
      <c r="U7" s="3">
        <f>T7/R7</f>
        <v>6.5769230769230766</v>
      </c>
      <c r="V7" s="3">
        <f>T7/S7</f>
        <v>19</v>
      </c>
      <c r="W7" s="4">
        <f>R7*6/S7</f>
        <v>17.333333333333332</v>
      </c>
      <c r="X7" t="s">
        <v>1266</v>
      </c>
      <c r="AA7" t="s">
        <v>69</v>
      </c>
      <c r="AB7" t="s">
        <v>71</v>
      </c>
      <c r="AC7">
        <v>2</v>
      </c>
      <c r="AD7">
        <v>1</v>
      </c>
      <c r="AE7" s="3">
        <f>AD7/AC7</f>
        <v>0.5</v>
      </c>
    </row>
    <row r="8" spans="1:33" x14ac:dyDescent="0.35">
      <c r="A8" t="s">
        <v>33</v>
      </c>
      <c r="B8" t="s">
        <v>35</v>
      </c>
      <c r="C8">
        <v>11</v>
      </c>
      <c r="D8">
        <v>9</v>
      </c>
      <c r="E8">
        <f>D8+F8</f>
        <v>9</v>
      </c>
      <c r="F8">
        <v>0</v>
      </c>
      <c r="G8">
        <v>2</v>
      </c>
      <c r="H8">
        <v>127</v>
      </c>
      <c r="I8">
        <v>30</v>
      </c>
      <c r="J8" s="3">
        <f>H8/D8</f>
        <v>14.111111111111111</v>
      </c>
      <c r="K8" t="s">
        <v>1454</v>
      </c>
      <c r="L8">
        <v>0</v>
      </c>
      <c r="M8">
        <v>0</v>
      </c>
      <c r="O8" s="18" t="s">
        <v>1358</v>
      </c>
      <c r="P8" s="18" t="s">
        <v>1359</v>
      </c>
      <c r="Q8" s="18">
        <v>17</v>
      </c>
      <c r="R8" s="18">
        <v>62.3</v>
      </c>
      <c r="S8" s="18">
        <v>26</v>
      </c>
      <c r="T8" s="18">
        <v>423</v>
      </c>
      <c r="U8" s="19">
        <f>T8/R8</f>
        <v>6.7897271268057784</v>
      </c>
      <c r="V8" s="19">
        <f>T8/S8</f>
        <v>16.26923076923077</v>
      </c>
      <c r="W8" s="20">
        <f>R8*6/S8</f>
        <v>14.376923076923076</v>
      </c>
      <c r="X8" s="18" t="s">
        <v>1491</v>
      </c>
      <c r="AA8" s="18" t="s">
        <v>1389</v>
      </c>
      <c r="AB8" s="18" t="s">
        <v>1290</v>
      </c>
      <c r="AC8" s="18">
        <v>5</v>
      </c>
      <c r="AD8" s="18">
        <v>3</v>
      </c>
      <c r="AE8" s="19">
        <f>AD8/AC8</f>
        <v>0.6</v>
      </c>
      <c r="AF8" s="18"/>
      <c r="AG8" s="18"/>
    </row>
    <row r="9" spans="1:33" x14ac:dyDescent="0.35">
      <c r="A9" t="s">
        <v>1456</v>
      </c>
      <c r="B9" t="s">
        <v>1110</v>
      </c>
      <c r="C9">
        <v>8</v>
      </c>
      <c r="D9">
        <v>6</v>
      </c>
      <c r="E9">
        <f>D9+F9</f>
        <v>7</v>
      </c>
      <c r="F9">
        <v>1</v>
      </c>
      <c r="G9">
        <v>1</v>
      </c>
      <c r="H9">
        <v>59</v>
      </c>
      <c r="I9">
        <v>23</v>
      </c>
      <c r="J9" s="3">
        <f>H9/D9</f>
        <v>9.8333333333333339</v>
      </c>
      <c r="K9" s="3">
        <f>46/54*100</f>
        <v>85.18518518518519</v>
      </c>
      <c r="L9">
        <v>0</v>
      </c>
      <c r="M9">
        <v>0</v>
      </c>
      <c r="O9" t="s">
        <v>84</v>
      </c>
      <c r="P9" t="s">
        <v>85</v>
      </c>
      <c r="Q9">
        <v>6</v>
      </c>
      <c r="R9">
        <v>19</v>
      </c>
      <c r="S9">
        <v>10</v>
      </c>
      <c r="T9">
        <f>25+62</f>
        <v>87</v>
      </c>
      <c r="U9" s="3">
        <f>T9/R9</f>
        <v>4.5789473684210522</v>
      </c>
      <c r="V9" s="3">
        <f>T9/S9</f>
        <v>8.6999999999999993</v>
      </c>
      <c r="W9" s="4">
        <f>R9*6/S9</f>
        <v>11.4</v>
      </c>
      <c r="X9" t="s">
        <v>1492</v>
      </c>
      <c r="AA9" t="s">
        <v>1184</v>
      </c>
      <c r="AB9" t="s">
        <v>1185</v>
      </c>
      <c r="AC9">
        <v>7</v>
      </c>
      <c r="AD9">
        <v>1</v>
      </c>
      <c r="AE9" s="3">
        <f>AD9/AC9</f>
        <v>0.14285714285714285</v>
      </c>
    </row>
    <row r="10" spans="1:33" x14ac:dyDescent="0.35">
      <c r="A10" s="18" t="s">
        <v>1358</v>
      </c>
      <c r="B10" s="18" t="s">
        <v>1359</v>
      </c>
      <c r="C10" s="18">
        <v>17</v>
      </c>
      <c r="D10" s="18">
        <v>5</v>
      </c>
      <c r="E10" s="18">
        <f>D10+F10</f>
        <v>9</v>
      </c>
      <c r="F10" s="18">
        <v>4</v>
      </c>
      <c r="G10" s="18">
        <v>8</v>
      </c>
      <c r="H10" s="18">
        <f>59+23</f>
        <v>82</v>
      </c>
      <c r="I10" s="18" t="s">
        <v>1457</v>
      </c>
      <c r="J10" s="19">
        <f>H10/D10</f>
        <v>16.399999999999999</v>
      </c>
      <c r="K10" s="19">
        <f>82/110*100</f>
        <v>74.545454545454547</v>
      </c>
      <c r="L10" s="18">
        <v>0</v>
      </c>
      <c r="M10" s="18">
        <v>0</v>
      </c>
      <c r="O10" s="18" t="s">
        <v>1389</v>
      </c>
      <c r="P10" s="18" t="s">
        <v>1290</v>
      </c>
      <c r="Q10" s="18">
        <v>5</v>
      </c>
      <c r="R10" s="18">
        <v>10</v>
      </c>
      <c r="S10" s="18">
        <v>4</v>
      </c>
      <c r="T10" s="18">
        <f>25+53</f>
        <v>78</v>
      </c>
      <c r="U10" s="19">
        <f>T10/R10</f>
        <v>7.8</v>
      </c>
      <c r="V10" s="19">
        <f>T10/S10</f>
        <v>19.5</v>
      </c>
      <c r="W10" s="20">
        <f>R10*6/S10</f>
        <v>15</v>
      </c>
      <c r="X10" s="18" t="s">
        <v>1493</v>
      </c>
      <c r="AA10" t="s">
        <v>166</v>
      </c>
      <c r="AB10" t="s">
        <v>165</v>
      </c>
      <c r="AC10">
        <v>2</v>
      </c>
      <c r="AD10">
        <v>1</v>
      </c>
      <c r="AE10" s="3">
        <f>AD10/AC10</f>
        <v>0.5</v>
      </c>
    </row>
    <row r="11" spans="1:33" x14ac:dyDescent="0.35">
      <c r="A11" s="18" t="s">
        <v>1374</v>
      </c>
      <c r="B11" s="18" t="s">
        <v>1375</v>
      </c>
      <c r="C11" s="18">
        <v>2</v>
      </c>
      <c r="D11" s="18">
        <v>2</v>
      </c>
      <c r="E11" s="18">
        <f>D11+F11</f>
        <v>2</v>
      </c>
      <c r="F11" s="18">
        <v>0</v>
      </c>
      <c r="G11" s="18">
        <v>0</v>
      </c>
      <c r="H11" s="18">
        <v>13</v>
      </c>
      <c r="I11" s="18">
        <v>7</v>
      </c>
      <c r="J11" s="19">
        <f>H11/D11</f>
        <v>6.5</v>
      </c>
      <c r="K11" s="19">
        <f>13/20*100</f>
        <v>65</v>
      </c>
      <c r="L11" s="18">
        <v>0</v>
      </c>
      <c r="M11" s="18">
        <v>0</v>
      </c>
      <c r="O11" t="s">
        <v>1184</v>
      </c>
      <c r="P11" t="s">
        <v>1185</v>
      </c>
      <c r="Q11">
        <v>7</v>
      </c>
      <c r="R11">
        <f>17+8</f>
        <v>25</v>
      </c>
      <c r="S11">
        <v>8</v>
      </c>
      <c r="T11">
        <v>159</v>
      </c>
      <c r="U11" s="3">
        <f>T11/R11</f>
        <v>6.36</v>
      </c>
      <c r="V11" s="3">
        <f>T11/S11</f>
        <v>19.875</v>
      </c>
      <c r="W11" s="4">
        <f>R11*6/S11</f>
        <v>18.75</v>
      </c>
      <c r="X11" t="s">
        <v>1494</v>
      </c>
      <c r="AA11" t="s">
        <v>1458</v>
      </c>
      <c r="AB11" t="s">
        <v>1459</v>
      </c>
      <c r="AC11">
        <v>1</v>
      </c>
      <c r="AD11">
        <v>1</v>
      </c>
      <c r="AE11" s="3">
        <f>AD11/AC11</f>
        <v>1</v>
      </c>
    </row>
    <row r="12" spans="1:33" x14ac:dyDescent="0.35">
      <c r="A12" t="s">
        <v>69</v>
      </c>
      <c r="B12" t="s">
        <v>71</v>
      </c>
      <c r="C12">
        <v>2</v>
      </c>
      <c r="D12">
        <v>1</v>
      </c>
      <c r="E12">
        <f>D12+F12</f>
        <v>1</v>
      </c>
      <c r="F12">
        <v>0</v>
      </c>
      <c r="G12">
        <v>1</v>
      </c>
      <c r="H12">
        <v>3</v>
      </c>
      <c r="I12">
        <v>3</v>
      </c>
      <c r="J12" s="3">
        <f>H12/D12</f>
        <v>3</v>
      </c>
      <c r="K12" t="s">
        <v>1454</v>
      </c>
      <c r="L12">
        <v>0</v>
      </c>
      <c r="M12">
        <v>0</v>
      </c>
      <c r="O12" t="s">
        <v>162</v>
      </c>
      <c r="P12" t="s">
        <v>163</v>
      </c>
      <c r="Q12">
        <v>1</v>
      </c>
      <c r="R12">
        <v>3</v>
      </c>
      <c r="S12">
        <v>2</v>
      </c>
      <c r="T12">
        <v>16</v>
      </c>
      <c r="U12" s="3">
        <f>T12/R12</f>
        <v>5.333333333333333</v>
      </c>
      <c r="V12" s="3">
        <f>T12/S12</f>
        <v>8</v>
      </c>
      <c r="W12" s="4">
        <f>24/2</f>
        <v>12</v>
      </c>
      <c r="X12" t="s">
        <v>1211</v>
      </c>
      <c r="AA12" s="18" t="s">
        <v>173</v>
      </c>
      <c r="AB12" s="18" t="s">
        <v>222</v>
      </c>
      <c r="AC12" s="18">
        <v>12</v>
      </c>
      <c r="AD12" s="18">
        <v>17</v>
      </c>
      <c r="AE12" s="19">
        <f>AD12/AC12</f>
        <v>1.4166666666666667</v>
      </c>
      <c r="AF12" s="18">
        <v>1</v>
      </c>
      <c r="AG12" s="18">
        <v>6</v>
      </c>
    </row>
    <row r="13" spans="1:33" x14ac:dyDescent="0.35">
      <c r="A13" t="s">
        <v>84</v>
      </c>
      <c r="B13" t="s">
        <v>85</v>
      </c>
      <c r="C13">
        <v>6</v>
      </c>
      <c r="D13">
        <v>5</v>
      </c>
      <c r="E13">
        <f>D13+F13</f>
        <v>6</v>
      </c>
      <c r="F13">
        <v>1</v>
      </c>
      <c r="G13">
        <v>0</v>
      </c>
      <c r="H13">
        <f>55+24</f>
        <v>79</v>
      </c>
      <c r="I13">
        <v>25</v>
      </c>
      <c r="J13" s="3">
        <f>H13/D13</f>
        <v>15.8</v>
      </c>
      <c r="K13" s="3">
        <f>24/30*100</f>
        <v>80</v>
      </c>
      <c r="L13">
        <v>0</v>
      </c>
      <c r="M13">
        <v>0</v>
      </c>
      <c r="O13" t="s">
        <v>166</v>
      </c>
      <c r="P13" t="s">
        <v>165</v>
      </c>
      <c r="Q13">
        <v>2</v>
      </c>
      <c r="R13">
        <v>3</v>
      </c>
      <c r="S13">
        <v>2</v>
      </c>
      <c r="T13">
        <v>24</v>
      </c>
      <c r="U13" s="3">
        <f>T13/R13</f>
        <v>8</v>
      </c>
      <c r="V13" s="3">
        <f>T13/S13</f>
        <v>12</v>
      </c>
      <c r="W13" s="4">
        <f>24/2</f>
        <v>12</v>
      </c>
      <c r="X13" t="s">
        <v>1153</v>
      </c>
      <c r="AA13" t="s">
        <v>197</v>
      </c>
      <c r="AB13" t="s">
        <v>198</v>
      </c>
      <c r="AC13">
        <v>13</v>
      </c>
      <c r="AD13">
        <v>1</v>
      </c>
      <c r="AE13" s="3">
        <f>AD13/AC13</f>
        <v>7.6923076923076927E-2</v>
      </c>
    </row>
    <row r="14" spans="1:33" x14ac:dyDescent="0.35">
      <c r="A14" s="18" t="s">
        <v>1389</v>
      </c>
      <c r="B14" s="18" t="s">
        <v>1290</v>
      </c>
      <c r="C14" s="18">
        <v>5</v>
      </c>
      <c r="D14" s="18">
        <v>0</v>
      </c>
      <c r="E14" s="18">
        <f>D14+F14</f>
        <v>0</v>
      </c>
      <c r="F14" s="18">
        <v>0</v>
      </c>
      <c r="G14" s="18">
        <v>5</v>
      </c>
      <c r="H14" s="18">
        <v>0</v>
      </c>
      <c r="I14" s="18">
        <v>0</v>
      </c>
      <c r="J14" s="19" t="e">
        <f>H14/D14</f>
        <v>#DIV/0!</v>
      </c>
      <c r="K14" s="18" t="s">
        <v>1454</v>
      </c>
      <c r="L14" s="18">
        <v>0</v>
      </c>
      <c r="M14" s="18">
        <v>0</v>
      </c>
      <c r="O14" t="s">
        <v>197</v>
      </c>
      <c r="P14" t="s">
        <v>198</v>
      </c>
      <c r="Q14">
        <v>13</v>
      </c>
      <c r="R14">
        <v>30</v>
      </c>
      <c r="S14">
        <v>15</v>
      </c>
      <c r="T14">
        <f>120+73</f>
        <v>193</v>
      </c>
      <c r="U14" s="3">
        <f>T14/R14</f>
        <v>6.4333333333333336</v>
      </c>
      <c r="V14" s="3">
        <f>T14/S14</f>
        <v>12.866666666666667</v>
      </c>
      <c r="W14" s="4">
        <f>R14*6/S14</f>
        <v>12</v>
      </c>
      <c r="X14" t="s">
        <v>1495</v>
      </c>
      <c r="AA14" t="s">
        <v>202</v>
      </c>
      <c r="AB14" t="s">
        <v>16</v>
      </c>
      <c r="AC14">
        <v>1</v>
      </c>
      <c r="AD14">
        <v>1</v>
      </c>
      <c r="AE14" s="3">
        <f>AD14/AC14</f>
        <v>1</v>
      </c>
    </row>
    <row r="15" spans="1:33" x14ac:dyDescent="0.35">
      <c r="A15" t="s">
        <v>1184</v>
      </c>
      <c r="B15" t="s">
        <v>1185</v>
      </c>
      <c r="C15">
        <v>7</v>
      </c>
      <c r="D15">
        <v>5</v>
      </c>
      <c r="E15">
        <f>D15+F15</f>
        <v>7</v>
      </c>
      <c r="F15">
        <v>2</v>
      </c>
      <c r="G15">
        <v>0</v>
      </c>
      <c r="H15">
        <v>133</v>
      </c>
      <c r="I15">
        <v>34</v>
      </c>
      <c r="J15" s="3">
        <f>H15/D15</f>
        <v>26.6</v>
      </c>
      <c r="K15" s="3">
        <f>133/149*100</f>
        <v>89.261744966442961</v>
      </c>
      <c r="L15">
        <v>0</v>
      </c>
      <c r="M15">
        <v>0</v>
      </c>
      <c r="O15" s="18" t="s">
        <v>200</v>
      </c>
      <c r="P15" s="18" t="s">
        <v>201</v>
      </c>
      <c r="Q15" s="18">
        <v>12</v>
      </c>
      <c r="R15" s="18">
        <v>3</v>
      </c>
      <c r="S15" s="18">
        <v>2</v>
      </c>
      <c r="T15" s="18">
        <v>22</v>
      </c>
      <c r="U15" s="19">
        <f>T15/R15</f>
        <v>7.333333333333333</v>
      </c>
      <c r="V15" s="19">
        <f>T15/S15</f>
        <v>11</v>
      </c>
      <c r="W15" s="20">
        <f>R15*6/S15</f>
        <v>9</v>
      </c>
      <c r="X15" s="18" t="s">
        <v>1496</v>
      </c>
      <c r="AA15" s="18" t="s">
        <v>1188</v>
      </c>
      <c r="AB15" s="18" t="s">
        <v>481</v>
      </c>
      <c r="AC15" s="18">
        <v>3</v>
      </c>
      <c r="AD15" s="18">
        <v>1</v>
      </c>
      <c r="AE15" s="19">
        <f>AD15/AC15</f>
        <v>0.33333333333333331</v>
      </c>
      <c r="AF15" s="18">
        <v>1</v>
      </c>
      <c r="AG15" s="18"/>
    </row>
    <row r="16" spans="1:33" x14ac:dyDescent="0.35">
      <c r="A16" t="s">
        <v>162</v>
      </c>
      <c r="B16" t="s">
        <v>163</v>
      </c>
      <c r="C16">
        <v>1</v>
      </c>
      <c r="D16">
        <v>1</v>
      </c>
      <c r="E16">
        <f>D16+F16</f>
        <v>1</v>
      </c>
      <c r="F16">
        <v>0</v>
      </c>
      <c r="G16">
        <v>0</v>
      </c>
      <c r="H16">
        <v>0</v>
      </c>
      <c r="I16">
        <v>0</v>
      </c>
      <c r="J16" s="3">
        <f>H16/D16</f>
        <v>0</v>
      </c>
      <c r="K16" t="s">
        <v>1454</v>
      </c>
      <c r="L16">
        <v>0</v>
      </c>
      <c r="M16">
        <v>0</v>
      </c>
      <c r="O16" s="18" t="s">
        <v>205</v>
      </c>
      <c r="P16" s="18" t="s">
        <v>206</v>
      </c>
      <c r="Q16" s="18">
        <v>1</v>
      </c>
      <c r="R16" s="18">
        <v>2</v>
      </c>
      <c r="S16" s="18">
        <v>0</v>
      </c>
      <c r="T16" s="18">
        <v>15</v>
      </c>
      <c r="U16" s="19">
        <f>T16/R16</f>
        <v>7.5</v>
      </c>
      <c r="V16" s="19" t="e">
        <f>T16/S16</f>
        <v>#DIV/0!</v>
      </c>
      <c r="W16" s="20" t="e">
        <f>R16*6/S16</f>
        <v>#DIV/0!</v>
      </c>
      <c r="X16" s="18" t="s">
        <v>1497</v>
      </c>
      <c r="AA16" t="s">
        <v>257</v>
      </c>
      <c r="AB16" t="s">
        <v>165</v>
      </c>
      <c r="AC16">
        <v>14</v>
      </c>
      <c r="AD16">
        <v>3</v>
      </c>
      <c r="AE16" s="3">
        <f>AD16/AC16</f>
        <v>0.21428571428571427</v>
      </c>
      <c r="AF16">
        <v>3</v>
      </c>
    </row>
    <row r="17" spans="1:33" x14ac:dyDescent="0.35">
      <c r="A17" t="s">
        <v>166</v>
      </c>
      <c r="B17" t="s">
        <v>165</v>
      </c>
      <c r="C17">
        <v>2</v>
      </c>
      <c r="D17">
        <v>1</v>
      </c>
      <c r="E17">
        <f>D17+F17</f>
        <v>1</v>
      </c>
      <c r="F17">
        <v>0</v>
      </c>
      <c r="G17">
        <v>1</v>
      </c>
      <c r="H17">
        <v>25</v>
      </c>
      <c r="I17">
        <v>25</v>
      </c>
      <c r="J17" s="3">
        <f>H17/D17</f>
        <v>25</v>
      </c>
      <c r="K17" t="s">
        <v>1454</v>
      </c>
      <c r="L17">
        <v>0</v>
      </c>
      <c r="M17">
        <v>0</v>
      </c>
      <c r="O17" s="18" t="s">
        <v>1188</v>
      </c>
      <c r="P17" s="18" t="s">
        <v>481</v>
      </c>
      <c r="Q17" s="18">
        <v>3</v>
      </c>
      <c r="R17" s="18">
        <v>9</v>
      </c>
      <c r="S17" s="18">
        <v>4</v>
      </c>
      <c r="T17" s="18">
        <v>33</v>
      </c>
      <c r="U17" s="19">
        <f>T17/R17</f>
        <v>3.6666666666666665</v>
      </c>
      <c r="V17" s="19">
        <f>T17/S17</f>
        <v>8.25</v>
      </c>
      <c r="W17" s="18">
        <f>R17*6/S17</f>
        <v>13.5</v>
      </c>
      <c r="X17" s="18" t="s">
        <v>1286</v>
      </c>
      <c r="AA17" t="s">
        <v>275</v>
      </c>
      <c r="AB17" t="s">
        <v>96</v>
      </c>
      <c r="AC17">
        <v>4</v>
      </c>
      <c r="AD17">
        <v>2</v>
      </c>
      <c r="AE17" s="3">
        <f>AD17/AC17</f>
        <v>0.5</v>
      </c>
      <c r="AG17">
        <v>1</v>
      </c>
    </row>
    <row r="18" spans="1:33" x14ac:dyDescent="0.35">
      <c r="A18" t="s">
        <v>1458</v>
      </c>
      <c r="B18" t="s">
        <v>1459</v>
      </c>
      <c r="C18">
        <v>1</v>
      </c>
      <c r="D18">
        <v>1</v>
      </c>
      <c r="E18">
        <f>D18+F18</f>
        <v>1</v>
      </c>
      <c r="F18">
        <v>0</v>
      </c>
      <c r="G18">
        <v>0</v>
      </c>
      <c r="H18">
        <v>18</v>
      </c>
      <c r="I18">
        <v>18</v>
      </c>
      <c r="J18" s="3">
        <f>H18/D18</f>
        <v>18</v>
      </c>
      <c r="K18" t="s">
        <v>1454</v>
      </c>
      <c r="L18">
        <v>0</v>
      </c>
      <c r="M18">
        <v>0</v>
      </c>
      <c r="O18" t="s">
        <v>257</v>
      </c>
      <c r="P18" t="s">
        <v>165</v>
      </c>
      <c r="Q18">
        <v>14</v>
      </c>
      <c r="R18">
        <f>28+14</f>
        <v>42</v>
      </c>
      <c r="S18">
        <v>12</v>
      </c>
      <c r="T18">
        <f>164+84</f>
        <v>248</v>
      </c>
      <c r="U18" s="3">
        <f>T18/R18</f>
        <v>5.9047619047619051</v>
      </c>
      <c r="V18" s="3">
        <f>T18/S18</f>
        <v>20.666666666666668</v>
      </c>
      <c r="W18" s="4">
        <f>R18*6/S18</f>
        <v>21</v>
      </c>
      <c r="X18" t="s">
        <v>1498</v>
      </c>
      <c r="AA18" t="s">
        <v>280</v>
      </c>
      <c r="AB18" t="s">
        <v>41</v>
      </c>
      <c r="AC18">
        <v>21</v>
      </c>
      <c r="AD18">
        <v>9</v>
      </c>
      <c r="AE18" s="3">
        <f>AD18/AC18</f>
        <v>0.42857142857142855</v>
      </c>
      <c r="AF18">
        <v>1</v>
      </c>
    </row>
    <row r="19" spans="1:33" x14ac:dyDescent="0.35">
      <c r="A19" s="18" t="s">
        <v>173</v>
      </c>
      <c r="B19" s="18" t="s">
        <v>222</v>
      </c>
      <c r="C19" s="18">
        <v>12</v>
      </c>
      <c r="D19" s="18">
        <v>10</v>
      </c>
      <c r="E19" s="18">
        <f>D19+F19</f>
        <v>12</v>
      </c>
      <c r="F19" s="18">
        <v>2</v>
      </c>
      <c r="G19" s="18">
        <v>0</v>
      </c>
      <c r="H19" s="18">
        <f>150+205</f>
        <v>355</v>
      </c>
      <c r="I19" s="18" t="s">
        <v>1460</v>
      </c>
      <c r="J19" s="19">
        <f>H19/D19</f>
        <v>35.5</v>
      </c>
      <c r="K19" s="19">
        <f>355/206*100</f>
        <v>172.33009708737862</v>
      </c>
      <c r="L19" s="18">
        <v>1</v>
      </c>
      <c r="M19" s="18">
        <v>1</v>
      </c>
      <c r="O19" t="s">
        <v>258</v>
      </c>
      <c r="P19" t="s">
        <v>260</v>
      </c>
      <c r="Q19">
        <v>2</v>
      </c>
      <c r="R19">
        <v>7</v>
      </c>
      <c r="S19">
        <v>0</v>
      </c>
      <c r="T19">
        <v>30</v>
      </c>
      <c r="U19" s="3">
        <f>T19/R19</f>
        <v>4.2857142857142856</v>
      </c>
      <c r="V19" s="3">
        <v>0</v>
      </c>
      <c r="W19" s="4">
        <v>0</v>
      </c>
      <c r="X19" t="s">
        <v>1499</v>
      </c>
      <c r="AA19" t="s">
        <v>280</v>
      </c>
      <c r="AB19" t="s">
        <v>281</v>
      </c>
      <c r="AC19">
        <v>21</v>
      </c>
      <c r="AD19">
        <v>3</v>
      </c>
      <c r="AE19" s="3">
        <f>AD19/AC19</f>
        <v>0.14285714285714285</v>
      </c>
    </row>
    <row r="20" spans="1:33" x14ac:dyDescent="0.35">
      <c r="A20" s="32" t="s">
        <v>197</v>
      </c>
      <c r="B20" t="s">
        <v>198</v>
      </c>
      <c r="C20">
        <v>13</v>
      </c>
      <c r="D20">
        <v>4</v>
      </c>
      <c r="E20">
        <f>D20+F20</f>
        <v>7</v>
      </c>
      <c r="F20">
        <v>3</v>
      </c>
      <c r="G20">
        <v>6</v>
      </c>
      <c r="H20">
        <f>13+44</f>
        <v>57</v>
      </c>
      <c r="I20" t="s">
        <v>1461</v>
      </c>
      <c r="J20" s="3">
        <f>H20/E20</f>
        <v>8.1428571428571423</v>
      </c>
      <c r="K20" t="s">
        <v>1454</v>
      </c>
      <c r="L20">
        <v>0</v>
      </c>
      <c r="M20">
        <v>0</v>
      </c>
      <c r="O20" t="s">
        <v>271</v>
      </c>
      <c r="P20" t="s">
        <v>272</v>
      </c>
      <c r="Q20">
        <v>1</v>
      </c>
      <c r="R20">
        <v>2</v>
      </c>
      <c r="S20">
        <v>0</v>
      </c>
      <c r="T20">
        <v>25</v>
      </c>
      <c r="U20" s="3">
        <f>T20/R20</f>
        <v>12.5</v>
      </c>
      <c r="V20" s="3">
        <v>0</v>
      </c>
      <c r="W20" s="4">
        <v>0</v>
      </c>
      <c r="X20" t="s">
        <v>1500</v>
      </c>
      <c r="AA20" t="s">
        <v>1465</v>
      </c>
      <c r="AB20" t="s">
        <v>285</v>
      </c>
      <c r="AC20">
        <v>8</v>
      </c>
      <c r="AD20">
        <v>2</v>
      </c>
      <c r="AE20" s="3">
        <f>AD20/AC20</f>
        <v>0.25</v>
      </c>
      <c r="AF20">
        <v>1</v>
      </c>
      <c r="AG20">
        <v>1</v>
      </c>
    </row>
    <row r="21" spans="1:33" x14ac:dyDescent="0.35">
      <c r="A21" s="18" t="s">
        <v>200</v>
      </c>
      <c r="B21" s="18" t="s">
        <v>201</v>
      </c>
      <c r="C21" s="18">
        <v>12</v>
      </c>
      <c r="D21" s="18">
        <v>5</v>
      </c>
      <c r="E21" s="18">
        <f>D21+F21</f>
        <v>9</v>
      </c>
      <c r="F21" s="18">
        <v>4</v>
      </c>
      <c r="G21" s="18">
        <v>3</v>
      </c>
      <c r="H21" s="18">
        <f>54+21</f>
        <v>75</v>
      </c>
      <c r="I21" s="18">
        <v>27</v>
      </c>
      <c r="J21" s="19">
        <f>H21/D21</f>
        <v>15</v>
      </c>
      <c r="K21" s="19">
        <f>27/30*100</f>
        <v>90</v>
      </c>
      <c r="L21" s="18">
        <v>0</v>
      </c>
      <c r="M21" s="18">
        <v>0</v>
      </c>
      <c r="O21" t="s">
        <v>280</v>
      </c>
      <c r="P21" t="s">
        <v>41</v>
      </c>
      <c r="Q21">
        <v>21</v>
      </c>
      <c r="R21">
        <v>65.3</v>
      </c>
      <c r="S21">
        <v>42</v>
      </c>
      <c r="T21">
        <f>321+16</f>
        <v>337</v>
      </c>
      <c r="U21" s="3">
        <f>T21/R21</f>
        <v>5.1607963246554363</v>
      </c>
      <c r="V21" s="3">
        <f>T21/S21</f>
        <v>8.0238095238095237</v>
      </c>
      <c r="W21" s="4">
        <f>24/2</f>
        <v>12</v>
      </c>
      <c r="X21" t="s">
        <v>1501</v>
      </c>
      <c r="AA21" t="s">
        <v>1465</v>
      </c>
      <c r="AB21" t="s">
        <v>284</v>
      </c>
      <c r="AC21">
        <v>3</v>
      </c>
      <c r="AF21">
        <v>2</v>
      </c>
    </row>
    <row r="22" spans="1:33" x14ac:dyDescent="0.35">
      <c r="A22" t="s">
        <v>202</v>
      </c>
      <c r="B22" t="s">
        <v>16</v>
      </c>
      <c r="C22">
        <v>1</v>
      </c>
      <c r="D22">
        <v>0</v>
      </c>
      <c r="E22">
        <f>D22+F22</f>
        <v>0</v>
      </c>
      <c r="F22">
        <v>0</v>
      </c>
      <c r="G22">
        <v>1</v>
      </c>
      <c r="H22">
        <v>0</v>
      </c>
      <c r="I22">
        <v>0</v>
      </c>
      <c r="J22" s="3" t="e">
        <f>H22/D22</f>
        <v>#DIV/0!</v>
      </c>
      <c r="K22" t="s">
        <v>1454</v>
      </c>
      <c r="L22">
        <v>0</v>
      </c>
      <c r="M22">
        <v>0</v>
      </c>
      <c r="O22" t="s">
        <v>280</v>
      </c>
      <c r="P22" t="s">
        <v>281</v>
      </c>
      <c r="Q22">
        <v>21</v>
      </c>
      <c r="R22">
        <v>41.3</v>
      </c>
      <c r="S22">
        <v>11</v>
      </c>
      <c r="T22">
        <f>268+19</f>
        <v>287</v>
      </c>
      <c r="U22" s="3">
        <f>T22/R22</f>
        <v>6.9491525423728815</v>
      </c>
      <c r="V22" s="3">
        <f>T22/S22</f>
        <v>26.09090909090909</v>
      </c>
      <c r="W22" s="4">
        <f>36/1</f>
        <v>36</v>
      </c>
      <c r="X22" t="s">
        <v>1502</v>
      </c>
      <c r="AA22" t="s">
        <v>41</v>
      </c>
      <c r="AB22" t="s">
        <v>293</v>
      </c>
      <c r="AC22">
        <v>10</v>
      </c>
      <c r="AD22">
        <v>1</v>
      </c>
      <c r="AE22" s="3">
        <f>AD22/AC22</f>
        <v>0.1</v>
      </c>
      <c r="AF22">
        <v>1</v>
      </c>
    </row>
    <row r="23" spans="1:33" x14ac:dyDescent="0.35">
      <c r="A23" s="18" t="s">
        <v>205</v>
      </c>
      <c r="B23" s="18" t="s">
        <v>206</v>
      </c>
      <c r="C23" s="18">
        <v>1</v>
      </c>
      <c r="D23" s="18">
        <v>0</v>
      </c>
      <c r="E23" s="18">
        <f>D23+F23</f>
        <v>0</v>
      </c>
      <c r="F23" s="18">
        <v>0</v>
      </c>
      <c r="G23" s="18">
        <v>1</v>
      </c>
      <c r="H23" s="18">
        <v>0</v>
      </c>
      <c r="I23" s="18">
        <v>0</v>
      </c>
      <c r="J23" s="19" t="e">
        <f>H23/D23</f>
        <v>#DIV/0!</v>
      </c>
      <c r="K23" s="18" t="s">
        <v>1454</v>
      </c>
      <c r="L23" s="18">
        <v>0</v>
      </c>
      <c r="M23" s="18">
        <v>0</v>
      </c>
      <c r="O23" t="s">
        <v>41</v>
      </c>
      <c r="P23" t="s">
        <v>293</v>
      </c>
      <c r="Q23">
        <v>10</v>
      </c>
      <c r="R23">
        <f>11+17.2</f>
        <v>28.2</v>
      </c>
      <c r="S23">
        <v>11</v>
      </c>
      <c r="T23">
        <f>75+92</f>
        <v>167</v>
      </c>
      <c r="U23" s="3">
        <f>T23/R23</f>
        <v>5.9219858156028371</v>
      </c>
      <c r="V23" s="3">
        <f>T23/S23</f>
        <v>15.181818181818182</v>
      </c>
      <c r="W23" s="4">
        <f>R23*6/S23</f>
        <v>15.381818181818181</v>
      </c>
      <c r="X23" t="s">
        <v>1225</v>
      </c>
      <c r="AA23" s="18" t="s">
        <v>297</v>
      </c>
      <c r="AB23" s="18" t="s">
        <v>97</v>
      </c>
      <c r="AC23" s="18">
        <v>9</v>
      </c>
      <c r="AD23" s="18">
        <v>4</v>
      </c>
      <c r="AE23" s="19">
        <f>AD23/AC23</f>
        <v>0.44444444444444442</v>
      </c>
      <c r="AF23" s="18"/>
      <c r="AG23" s="18"/>
    </row>
    <row r="24" spans="1:33" x14ac:dyDescent="0.35">
      <c r="A24" s="18" t="s">
        <v>1188</v>
      </c>
      <c r="B24" s="18" t="s">
        <v>481</v>
      </c>
      <c r="C24" s="18">
        <v>3</v>
      </c>
      <c r="D24" s="18">
        <v>0</v>
      </c>
      <c r="E24" s="18">
        <f>D24+F24</f>
        <v>1</v>
      </c>
      <c r="F24" s="18">
        <v>1</v>
      </c>
      <c r="G24" s="18">
        <v>2</v>
      </c>
      <c r="H24" s="18">
        <v>5</v>
      </c>
      <c r="I24" s="18" t="s">
        <v>1213</v>
      </c>
      <c r="J24" s="19" t="e">
        <f>H24/D24</f>
        <v>#DIV/0!</v>
      </c>
      <c r="K24" s="19">
        <f>5/7*100</f>
        <v>71.428571428571431</v>
      </c>
      <c r="L24" s="18">
        <v>0</v>
      </c>
      <c r="M24" s="18">
        <v>0</v>
      </c>
      <c r="O24" s="18" t="s">
        <v>297</v>
      </c>
      <c r="P24" s="18" t="s">
        <v>97</v>
      </c>
      <c r="Q24" s="18">
        <v>9</v>
      </c>
      <c r="R24" s="18">
        <v>16</v>
      </c>
      <c r="S24" s="18">
        <v>6</v>
      </c>
      <c r="T24" s="18">
        <f>25+73</f>
        <v>98</v>
      </c>
      <c r="U24" s="19">
        <f>T24/R24</f>
        <v>6.125</v>
      </c>
      <c r="V24" s="19">
        <f>T24/S24</f>
        <v>16.333333333333332</v>
      </c>
      <c r="W24" s="20">
        <f>R24*6/S24</f>
        <v>16</v>
      </c>
      <c r="X24" s="18" t="s">
        <v>1493</v>
      </c>
      <c r="AA24" t="s">
        <v>1118</v>
      </c>
      <c r="AB24" t="s">
        <v>1466</v>
      </c>
      <c r="AC24">
        <v>1</v>
      </c>
      <c r="AD24">
        <v>2</v>
      </c>
      <c r="AE24" s="3">
        <f>AD24/AC24</f>
        <v>2</v>
      </c>
      <c r="AF24">
        <v>1</v>
      </c>
    </row>
    <row r="25" spans="1:33" x14ac:dyDescent="0.35">
      <c r="A25" t="s">
        <v>257</v>
      </c>
      <c r="B25" t="s">
        <v>165</v>
      </c>
      <c r="C25">
        <v>14</v>
      </c>
      <c r="D25">
        <v>6</v>
      </c>
      <c r="E25">
        <f>D25+F25</f>
        <v>7</v>
      </c>
      <c r="F25">
        <v>1</v>
      </c>
      <c r="G25">
        <v>7</v>
      </c>
      <c r="H25">
        <f>65+12</f>
        <v>77</v>
      </c>
      <c r="I25">
        <v>32</v>
      </c>
      <c r="J25" s="3">
        <f>H25/D25</f>
        <v>12.833333333333334</v>
      </c>
      <c r="K25" t="s">
        <v>1454</v>
      </c>
      <c r="L25">
        <v>0</v>
      </c>
      <c r="M25">
        <v>0</v>
      </c>
      <c r="O25" t="s">
        <v>1118</v>
      </c>
      <c r="P25" t="s">
        <v>1466</v>
      </c>
      <c r="Q25">
        <v>1</v>
      </c>
      <c r="R25">
        <v>4</v>
      </c>
      <c r="S25">
        <v>1</v>
      </c>
      <c r="T25">
        <v>17</v>
      </c>
      <c r="U25" s="3">
        <f>T25/R25</f>
        <v>4.25</v>
      </c>
      <c r="V25" s="3">
        <f>T25/S25</f>
        <v>17</v>
      </c>
      <c r="W25" s="4">
        <f>R25*6/S25</f>
        <v>24</v>
      </c>
      <c r="X25" t="s">
        <v>1327</v>
      </c>
      <c r="AA25" t="s">
        <v>1467</v>
      </c>
      <c r="AB25" t="s">
        <v>97</v>
      </c>
      <c r="AC25">
        <v>2</v>
      </c>
      <c r="AD25">
        <v>1</v>
      </c>
      <c r="AE25" s="3">
        <f>AD25/AC25</f>
        <v>0.5</v>
      </c>
    </row>
    <row r="26" spans="1:33" x14ac:dyDescent="0.35">
      <c r="A26" t="s">
        <v>258</v>
      </c>
      <c r="B26" t="s">
        <v>260</v>
      </c>
      <c r="C26">
        <v>2</v>
      </c>
      <c r="D26">
        <v>1</v>
      </c>
      <c r="E26">
        <f>D26+F26</f>
        <v>2</v>
      </c>
      <c r="F26">
        <v>1</v>
      </c>
      <c r="G26">
        <v>0</v>
      </c>
      <c r="H26">
        <v>18</v>
      </c>
      <c r="I26">
        <v>10</v>
      </c>
      <c r="J26" s="3">
        <f>H26/D26</f>
        <v>18</v>
      </c>
      <c r="K26" t="s">
        <v>1454</v>
      </c>
      <c r="L26">
        <v>0</v>
      </c>
      <c r="M26">
        <v>0</v>
      </c>
      <c r="O26" t="s">
        <v>1467</v>
      </c>
      <c r="P26" t="s">
        <v>97</v>
      </c>
      <c r="Q26">
        <v>2</v>
      </c>
      <c r="R26">
        <v>0.1</v>
      </c>
      <c r="S26">
        <v>0</v>
      </c>
      <c r="T26">
        <v>6</v>
      </c>
      <c r="U26" s="3">
        <f>T26/R26</f>
        <v>60</v>
      </c>
      <c r="V26" s="3" t="e">
        <f>T26/S26</f>
        <v>#DIV/0!</v>
      </c>
      <c r="W26" s="4" t="e">
        <f>R26*6/S26</f>
        <v>#DIV/0!</v>
      </c>
      <c r="X26" t="s">
        <v>1293</v>
      </c>
      <c r="AA26" t="s">
        <v>331</v>
      </c>
      <c r="AB26" t="s">
        <v>332</v>
      </c>
      <c r="AC26">
        <v>15</v>
      </c>
      <c r="AD26">
        <v>1</v>
      </c>
      <c r="AE26" s="3">
        <f>AD26/AC26</f>
        <v>6.6666666666666666E-2</v>
      </c>
      <c r="AF26">
        <v>2</v>
      </c>
    </row>
    <row r="27" spans="1:33" x14ac:dyDescent="0.35">
      <c r="A27" t="s">
        <v>271</v>
      </c>
      <c r="B27" t="s">
        <v>272</v>
      </c>
      <c r="C27">
        <v>1</v>
      </c>
      <c r="D27">
        <v>1</v>
      </c>
      <c r="E27">
        <f>D27+F27</f>
        <v>1</v>
      </c>
      <c r="F27">
        <v>0</v>
      </c>
      <c r="G27">
        <v>0</v>
      </c>
      <c r="H27">
        <v>0</v>
      </c>
      <c r="I27">
        <v>0</v>
      </c>
      <c r="J27" s="3">
        <f>H27/D27</f>
        <v>0</v>
      </c>
      <c r="K27" t="s">
        <v>1454</v>
      </c>
      <c r="L27">
        <v>0</v>
      </c>
      <c r="M27">
        <v>0</v>
      </c>
      <c r="O27" t="s">
        <v>331</v>
      </c>
      <c r="P27" t="s">
        <v>332</v>
      </c>
      <c r="Q27">
        <v>15</v>
      </c>
      <c r="R27">
        <v>39.1</v>
      </c>
      <c r="S27">
        <v>9</v>
      </c>
      <c r="T27">
        <f>183+42</f>
        <v>225</v>
      </c>
      <c r="U27" s="3">
        <f>T27/R27</f>
        <v>5.7544757033248084</v>
      </c>
      <c r="V27" s="3">
        <f>T27/S27</f>
        <v>25</v>
      </c>
      <c r="W27" s="4">
        <f>R27*6/S27</f>
        <v>26.06666666666667</v>
      </c>
      <c r="X27" t="s">
        <v>1493</v>
      </c>
      <c r="AA27" t="s">
        <v>350</v>
      </c>
      <c r="AB27" t="s">
        <v>351</v>
      </c>
      <c r="AC27">
        <v>5</v>
      </c>
      <c r="AD27">
        <v>1</v>
      </c>
      <c r="AE27" s="3">
        <f>AD27/AC27</f>
        <v>0.2</v>
      </c>
      <c r="AG27">
        <v>1</v>
      </c>
    </row>
    <row r="28" spans="1:33" x14ac:dyDescent="0.35">
      <c r="A28" t="s">
        <v>275</v>
      </c>
      <c r="B28" t="s">
        <v>96</v>
      </c>
      <c r="C28">
        <v>4</v>
      </c>
      <c r="D28">
        <v>4</v>
      </c>
      <c r="E28">
        <f>D28+F28</f>
        <v>4</v>
      </c>
      <c r="F28">
        <v>0</v>
      </c>
      <c r="G28">
        <v>0</v>
      </c>
      <c r="H28">
        <v>84</v>
      </c>
      <c r="I28">
        <v>41</v>
      </c>
      <c r="J28" s="3">
        <f>H28/D28</f>
        <v>21</v>
      </c>
      <c r="K28" t="s">
        <v>1454</v>
      </c>
      <c r="L28">
        <v>0</v>
      </c>
      <c r="M28">
        <v>0</v>
      </c>
      <c r="O28" t="s">
        <v>350</v>
      </c>
      <c r="P28" t="s">
        <v>351</v>
      </c>
      <c r="Q28">
        <v>5</v>
      </c>
      <c r="R28">
        <v>1</v>
      </c>
      <c r="S28">
        <v>2</v>
      </c>
      <c r="T28">
        <v>1</v>
      </c>
      <c r="U28" s="3">
        <f>T28/R28</f>
        <v>1</v>
      </c>
      <c r="V28" s="3">
        <f>T28/S28</f>
        <v>0.5</v>
      </c>
      <c r="W28" s="4">
        <f>R28*6/S28</f>
        <v>3</v>
      </c>
      <c r="X28" t="s">
        <v>1503</v>
      </c>
      <c r="AA28" t="s">
        <v>383</v>
      </c>
      <c r="AB28" t="s">
        <v>387</v>
      </c>
      <c r="AC28">
        <v>16</v>
      </c>
      <c r="AD28">
        <v>4</v>
      </c>
      <c r="AE28" s="3">
        <f>AD28/AC28</f>
        <v>0.25</v>
      </c>
      <c r="AF28">
        <v>1</v>
      </c>
    </row>
    <row r="29" spans="1:33" x14ac:dyDescent="0.35">
      <c r="A29" s="32" t="s">
        <v>280</v>
      </c>
      <c r="B29" s="32" t="s">
        <v>281</v>
      </c>
      <c r="C29">
        <v>21</v>
      </c>
      <c r="D29">
        <v>13</v>
      </c>
      <c r="E29">
        <f>D29+F29</f>
        <v>19</v>
      </c>
      <c r="F29">
        <v>6</v>
      </c>
      <c r="G29">
        <v>2</v>
      </c>
      <c r="H29">
        <f>272+23</f>
        <v>295</v>
      </c>
      <c r="I29" t="s">
        <v>1462</v>
      </c>
      <c r="J29" s="3">
        <f>H29/D29</f>
        <v>22.692307692307693</v>
      </c>
      <c r="K29" t="s">
        <v>1454</v>
      </c>
      <c r="L29">
        <v>0</v>
      </c>
      <c r="M29">
        <v>0</v>
      </c>
      <c r="O29" t="s">
        <v>383</v>
      </c>
      <c r="P29" t="s">
        <v>387</v>
      </c>
      <c r="Q29">
        <v>11</v>
      </c>
      <c r="R29">
        <v>13</v>
      </c>
      <c r="S29">
        <v>3</v>
      </c>
      <c r="T29">
        <v>119</v>
      </c>
      <c r="U29" s="3">
        <f>T29/R29</f>
        <v>9.1538461538461533</v>
      </c>
      <c r="V29" s="3">
        <f>T29/S29</f>
        <v>39.666666666666664</v>
      </c>
      <c r="W29" s="4">
        <f>R29*6/S29</f>
        <v>26</v>
      </c>
      <c r="X29" t="s">
        <v>1504</v>
      </c>
      <c r="AA29" t="s">
        <v>383</v>
      </c>
      <c r="AB29" t="s">
        <v>1183</v>
      </c>
      <c r="AC29">
        <v>4</v>
      </c>
      <c r="AD29">
        <v>3</v>
      </c>
      <c r="AE29" s="3">
        <f>AD29/AC29</f>
        <v>0.75</v>
      </c>
      <c r="AF29">
        <v>3</v>
      </c>
    </row>
    <row r="30" spans="1:33" x14ac:dyDescent="0.35">
      <c r="A30" t="s">
        <v>280</v>
      </c>
      <c r="B30" t="s">
        <v>41</v>
      </c>
      <c r="C30">
        <v>21</v>
      </c>
      <c r="D30">
        <v>14</v>
      </c>
      <c r="E30">
        <f>D30+F30</f>
        <v>16</v>
      </c>
      <c r="F30">
        <v>2</v>
      </c>
      <c r="G30">
        <v>5</v>
      </c>
      <c r="H30">
        <v>252</v>
      </c>
      <c r="I30">
        <v>50</v>
      </c>
      <c r="J30" s="3">
        <f>H30/D30</f>
        <v>18</v>
      </c>
      <c r="K30" t="s">
        <v>1454</v>
      </c>
      <c r="L30">
        <v>1</v>
      </c>
      <c r="M30">
        <v>0</v>
      </c>
      <c r="O30" t="s">
        <v>1469</v>
      </c>
      <c r="P30" t="s">
        <v>947</v>
      </c>
      <c r="Q30">
        <v>2</v>
      </c>
      <c r="R30">
        <v>8</v>
      </c>
      <c r="S30">
        <v>2</v>
      </c>
      <c r="T30">
        <v>53</v>
      </c>
      <c r="U30" s="3">
        <f>T30/R30</f>
        <v>6.625</v>
      </c>
      <c r="V30" s="3">
        <f>T30/S30</f>
        <v>26.5</v>
      </c>
      <c r="W30" s="4">
        <f>R30*6/S30</f>
        <v>24</v>
      </c>
      <c r="X30" t="s">
        <v>1505</v>
      </c>
      <c r="AA30" t="s">
        <v>1469</v>
      </c>
      <c r="AB30" t="s">
        <v>947</v>
      </c>
      <c r="AC30">
        <v>2</v>
      </c>
      <c r="AF30">
        <v>1</v>
      </c>
    </row>
    <row r="31" spans="1:33" x14ac:dyDescent="0.35">
      <c r="A31" t="s">
        <v>1465</v>
      </c>
      <c r="B31" t="s">
        <v>285</v>
      </c>
      <c r="C31">
        <v>8</v>
      </c>
      <c r="D31">
        <v>8</v>
      </c>
      <c r="E31">
        <f>D31+F31</f>
        <v>8</v>
      </c>
      <c r="F31">
        <v>0</v>
      </c>
      <c r="G31">
        <v>0</v>
      </c>
      <c r="H31">
        <v>174</v>
      </c>
      <c r="I31">
        <v>56</v>
      </c>
      <c r="J31" s="3">
        <f>H31/D31</f>
        <v>21.75</v>
      </c>
      <c r="K31" t="s">
        <v>1454</v>
      </c>
      <c r="L31">
        <v>1</v>
      </c>
      <c r="M31">
        <v>0</v>
      </c>
      <c r="O31" s="32" t="s">
        <v>402</v>
      </c>
      <c r="P31" t="s">
        <v>166</v>
      </c>
      <c r="Q31">
        <v>6</v>
      </c>
      <c r="R31">
        <v>14</v>
      </c>
      <c r="S31">
        <v>6</v>
      </c>
      <c r="T31">
        <v>83</v>
      </c>
      <c r="U31" s="3">
        <f>T31/R31</f>
        <v>5.9285714285714288</v>
      </c>
      <c r="V31" s="3">
        <f>T31/S31</f>
        <v>13.833333333333334</v>
      </c>
      <c r="W31" s="4">
        <f>R31*6/S31</f>
        <v>14</v>
      </c>
      <c r="X31" t="s">
        <v>1506</v>
      </c>
      <c r="AA31" t="s">
        <v>447</v>
      </c>
      <c r="AB31" t="s">
        <v>156</v>
      </c>
      <c r="AC31">
        <v>9</v>
      </c>
      <c r="AD31">
        <v>2</v>
      </c>
      <c r="AE31" s="3">
        <f>AD31/AC31</f>
        <v>0.22222222222222221</v>
      </c>
      <c r="AF31">
        <v>1</v>
      </c>
    </row>
    <row r="32" spans="1:33" x14ac:dyDescent="0.35">
      <c r="A32" t="s">
        <v>283</v>
      </c>
      <c r="B32" t="s">
        <v>284</v>
      </c>
      <c r="C32">
        <v>3</v>
      </c>
      <c r="D32">
        <v>1</v>
      </c>
      <c r="E32">
        <f>D32+F32</f>
        <v>1</v>
      </c>
      <c r="F32">
        <v>0</v>
      </c>
      <c r="G32">
        <v>2</v>
      </c>
      <c r="H32">
        <v>13</v>
      </c>
      <c r="I32">
        <v>13</v>
      </c>
      <c r="J32" s="3">
        <f>H32/D32</f>
        <v>13</v>
      </c>
      <c r="K32" t="s">
        <v>1454</v>
      </c>
      <c r="L32">
        <v>0</v>
      </c>
      <c r="M32">
        <v>0</v>
      </c>
      <c r="O32" t="s">
        <v>430</v>
      </c>
      <c r="P32" t="s">
        <v>431</v>
      </c>
      <c r="Q32">
        <v>3</v>
      </c>
      <c r="R32">
        <v>6</v>
      </c>
      <c r="S32">
        <v>5</v>
      </c>
      <c r="T32">
        <v>36</v>
      </c>
      <c r="U32" s="3">
        <f>T32/R32</f>
        <v>6</v>
      </c>
      <c r="V32" s="3">
        <f>T32/S32</f>
        <v>7.2</v>
      </c>
      <c r="W32">
        <f>R32*6/S32</f>
        <v>7.2</v>
      </c>
      <c r="X32" t="s">
        <v>1507</v>
      </c>
      <c r="AA32" t="s">
        <v>460</v>
      </c>
      <c r="AB32" t="s">
        <v>813</v>
      </c>
      <c r="AC32">
        <v>2</v>
      </c>
      <c r="AD32">
        <v>1</v>
      </c>
      <c r="AE32" s="3">
        <f>AD32/AC32</f>
        <v>0.5</v>
      </c>
    </row>
    <row r="33" spans="1:33" x14ac:dyDescent="0.35">
      <c r="A33" t="s">
        <v>283</v>
      </c>
      <c r="B33" t="s">
        <v>288</v>
      </c>
      <c r="C33">
        <v>1</v>
      </c>
      <c r="D33">
        <v>0</v>
      </c>
      <c r="E33">
        <f>D33+F33</f>
        <v>0</v>
      </c>
      <c r="F33">
        <v>0</v>
      </c>
      <c r="G33">
        <v>1</v>
      </c>
      <c r="H33">
        <v>0</v>
      </c>
      <c r="I33">
        <v>0</v>
      </c>
      <c r="J33" s="3" t="e">
        <f>H33/D33</f>
        <v>#DIV/0!</v>
      </c>
      <c r="K33" t="s">
        <v>1454</v>
      </c>
      <c r="L33">
        <v>0</v>
      </c>
      <c r="M33">
        <v>0</v>
      </c>
      <c r="O33" t="s">
        <v>447</v>
      </c>
      <c r="P33" t="s">
        <v>156</v>
      </c>
      <c r="Q33">
        <v>9</v>
      </c>
      <c r="R33">
        <v>16</v>
      </c>
      <c r="S33">
        <v>9</v>
      </c>
      <c r="T33">
        <f>37+45</f>
        <v>82</v>
      </c>
      <c r="U33" s="3">
        <f>T33/R33</f>
        <v>5.125</v>
      </c>
      <c r="V33" s="3">
        <f>T33/S33</f>
        <v>9.1111111111111107</v>
      </c>
      <c r="W33" s="4">
        <f>R33*6/S33</f>
        <v>10.666666666666666</v>
      </c>
      <c r="X33" t="s">
        <v>1508</v>
      </c>
      <c r="AA33" s="18" t="s">
        <v>470</v>
      </c>
      <c r="AB33" s="18" t="s">
        <v>556</v>
      </c>
      <c r="AC33" s="18">
        <v>8</v>
      </c>
      <c r="AD33" s="18">
        <v>3</v>
      </c>
      <c r="AE33" s="19">
        <f>AD33/AC33</f>
        <v>0.375</v>
      </c>
      <c r="AF33" s="18"/>
      <c r="AG33" s="18"/>
    </row>
    <row r="34" spans="1:33" x14ac:dyDescent="0.35">
      <c r="A34" t="s">
        <v>41</v>
      </c>
      <c r="B34" t="s">
        <v>293</v>
      </c>
      <c r="C34">
        <v>10</v>
      </c>
      <c r="D34">
        <v>4</v>
      </c>
      <c r="E34">
        <f>D34+F34</f>
        <v>5</v>
      </c>
      <c r="F34">
        <v>1</v>
      </c>
      <c r="G34">
        <v>5</v>
      </c>
      <c r="H34">
        <v>15</v>
      </c>
      <c r="I34" t="s">
        <v>1463</v>
      </c>
      <c r="J34" s="3">
        <f>H34/D34</f>
        <v>3.75</v>
      </c>
      <c r="K34" s="3">
        <f>15/24*100</f>
        <v>62.5</v>
      </c>
      <c r="L34">
        <v>0</v>
      </c>
      <c r="M34">
        <v>0</v>
      </c>
      <c r="O34" t="s">
        <v>460</v>
      </c>
      <c r="P34" t="s">
        <v>813</v>
      </c>
      <c r="Q34">
        <v>2</v>
      </c>
      <c r="R34">
        <v>3</v>
      </c>
      <c r="S34">
        <v>0</v>
      </c>
      <c r="T34">
        <v>31</v>
      </c>
      <c r="U34" s="3">
        <f>T34/R34</f>
        <v>10.333333333333334</v>
      </c>
      <c r="V34" s="3" t="e">
        <f>T34/S34</f>
        <v>#DIV/0!</v>
      </c>
      <c r="W34" s="4" t="e">
        <f>R34*6/S34</f>
        <v>#DIV/0!</v>
      </c>
      <c r="X34" t="s">
        <v>1497</v>
      </c>
      <c r="AA34" t="s">
        <v>478</v>
      </c>
      <c r="AB34" t="s">
        <v>1470</v>
      </c>
      <c r="AC34">
        <v>5</v>
      </c>
      <c r="AD34">
        <v>1</v>
      </c>
      <c r="AE34" s="3">
        <f>AD34/AC34</f>
        <v>0.2</v>
      </c>
      <c r="AF34">
        <v>1</v>
      </c>
    </row>
    <row r="35" spans="1:33" x14ac:dyDescent="0.35">
      <c r="A35" s="18" t="s">
        <v>297</v>
      </c>
      <c r="B35" s="18" t="s">
        <v>97</v>
      </c>
      <c r="C35" s="18">
        <v>9</v>
      </c>
      <c r="D35" s="18">
        <v>7</v>
      </c>
      <c r="E35" s="18">
        <f>D35+F35</f>
        <v>8</v>
      </c>
      <c r="F35" s="18">
        <v>1</v>
      </c>
      <c r="G35" s="18">
        <v>1</v>
      </c>
      <c r="H35" s="18">
        <f>29+139</f>
        <v>168</v>
      </c>
      <c r="I35" s="18" t="s">
        <v>1464</v>
      </c>
      <c r="J35" s="19">
        <f>H35/D35</f>
        <v>24</v>
      </c>
      <c r="K35" s="19">
        <f>139/84*100</f>
        <v>165.47619047619045</v>
      </c>
      <c r="L35" s="18">
        <v>2</v>
      </c>
      <c r="M35" s="18">
        <v>0</v>
      </c>
      <c r="O35" s="18" t="s">
        <v>470</v>
      </c>
      <c r="P35" s="18" t="s">
        <v>556</v>
      </c>
      <c r="Q35" s="18">
        <v>8</v>
      </c>
      <c r="R35" s="18">
        <v>25</v>
      </c>
      <c r="S35" s="18">
        <v>11</v>
      </c>
      <c r="T35" s="18">
        <f>94+48</f>
        <v>142</v>
      </c>
      <c r="U35" s="19">
        <f>T35/R35</f>
        <v>5.68</v>
      </c>
      <c r="V35" s="19">
        <f>T35/S35</f>
        <v>12.909090909090908</v>
      </c>
      <c r="W35" s="20">
        <f>R35*6/S35</f>
        <v>13.636363636363637</v>
      </c>
      <c r="X35" s="18" t="s">
        <v>1286</v>
      </c>
      <c r="AA35" t="s">
        <v>487</v>
      </c>
      <c r="AB35" t="s">
        <v>97</v>
      </c>
      <c r="AC35">
        <v>13</v>
      </c>
      <c r="AD35">
        <v>9</v>
      </c>
      <c r="AE35" s="3">
        <f>AD35/AC35</f>
        <v>0.69230769230769229</v>
      </c>
      <c r="AF35">
        <v>3</v>
      </c>
    </row>
    <row r="36" spans="1:33" x14ac:dyDescent="0.35">
      <c r="A36" t="s">
        <v>1118</v>
      </c>
      <c r="B36" t="s">
        <v>1466</v>
      </c>
      <c r="C36">
        <v>1</v>
      </c>
      <c r="D36">
        <v>1</v>
      </c>
      <c r="E36">
        <f>D36+F36</f>
        <v>1</v>
      </c>
      <c r="F36">
        <v>0</v>
      </c>
      <c r="G36">
        <v>0</v>
      </c>
      <c r="H36">
        <v>23</v>
      </c>
      <c r="I36">
        <v>23</v>
      </c>
      <c r="J36" s="3">
        <f>H36/D36</f>
        <v>23</v>
      </c>
      <c r="K36" t="s">
        <v>1454</v>
      </c>
      <c r="L36">
        <v>0</v>
      </c>
      <c r="M36">
        <v>0</v>
      </c>
      <c r="O36" t="s">
        <v>470</v>
      </c>
      <c r="P36" t="s">
        <v>226</v>
      </c>
      <c r="Q36">
        <v>1</v>
      </c>
      <c r="R36">
        <v>3</v>
      </c>
      <c r="S36">
        <v>0</v>
      </c>
      <c r="T36">
        <v>16</v>
      </c>
      <c r="U36" s="3">
        <f>T36/R36</f>
        <v>5.333333333333333</v>
      </c>
      <c r="V36" s="3" t="e">
        <f>T36/S36</f>
        <v>#DIV/0!</v>
      </c>
      <c r="W36" s="4" t="e">
        <f>R36*6/S36</f>
        <v>#DIV/0!</v>
      </c>
      <c r="X36" t="s">
        <v>1509</v>
      </c>
      <c r="AA36" t="s">
        <v>504</v>
      </c>
      <c r="AB36" t="s">
        <v>452</v>
      </c>
      <c r="AC36">
        <v>2</v>
      </c>
      <c r="AD36">
        <v>2</v>
      </c>
      <c r="AE36" s="3">
        <f>AD36/AC36</f>
        <v>1</v>
      </c>
    </row>
    <row r="37" spans="1:33" x14ac:dyDescent="0.35">
      <c r="A37" t="s">
        <v>314</v>
      </c>
      <c r="B37" t="s">
        <v>201</v>
      </c>
      <c r="C37">
        <v>1</v>
      </c>
      <c r="D37">
        <v>0</v>
      </c>
      <c r="E37">
        <f>D37+F37</f>
        <v>0</v>
      </c>
      <c r="F37">
        <v>0</v>
      </c>
      <c r="G37">
        <v>1</v>
      </c>
      <c r="H37">
        <v>0</v>
      </c>
      <c r="I37">
        <v>0</v>
      </c>
      <c r="J37" s="3" t="e">
        <f>H37/D37</f>
        <v>#DIV/0!</v>
      </c>
      <c r="K37" t="s">
        <v>1454</v>
      </c>
      <c r="L37">
        <v>0</v>
      </c>
      <c r="M37">
        <v>0</v>
      </c>
      <c r="O37" t="s">
        <v>478</v>
      </c>
      <c r="P37" t="s">
        <v>1470</v>
      </c>
      <c r="Q37">
        <v>5</v>
      </c>
      <c r="R37">
        <v>6</v>
      </c>
      <c r="S37">
        <v>1</v>
      </c>
      <c r="T37">
        <v>37</v>
      </c>
      <c r="U37" s="3">
        <f>T37/R37</f>
        <v>6.166666666666667</v>
      </c>
      <c r="V37" s="3">
        <f>T37/S37</f>
        <v>37</v>
      </c>
      <c r="W37" s="4">
        <f>R37*6/S37</f>
        <v>36</v>
      </c>
      <c r="X37" t="s">
        <v>1510</v>
      </c>
      <c r="AA37" t="s">
        <v>509</v>
      </c>
      <c r="AB37" t="s">
        <v>97</v>
      </c>
      <c r="AC37">
        <v>5</v>
      </c>
      <c r="AD37">
        <v>2</v>
      </c>
      <c r="AE37" s="3">
        <f>AD37/AC37</f>
        <v>0.4</v>
      </c>
    </row>
    <row r="38" spans="1:33" x14ac:dyDescent="0.35">
      <c r="A38" t="s">
        <v>317</v>
      </c>
      <c r="B38" t="s">
        <v>97</v>
      </c>
      <c r="C38">
        <v>1</v>
      </c>
      <c r="D38">
        <v>1</v>
      </c>
      <c r="E38">
        <f>D38+F38</f>
        <v>1</v>
      </c>
      <c r="F38">
        <v>0</v>
      </c>
      <c r="G38">
        <v>0</v>
      </c>
      <c r="H38">
        <v>1</v>
      </c>
      <c r="I38">
        <v>1</v>
      </c>
      <c r="J38" s="3">
        <f>H38/D38</f>
        <v>1</v>
      </c>
      <c r="K38" t="s">
        <v>1454</v>
      </c>
      <c r="L38">
        <v>0</v>
      </c>
      <c r="M38">
        <v>0</v>
      </c>
      <c r="O38" t="s">
        <v>487</v>
      </c>
      <c r="P38" t="s">
        <v>97</v>
      </c>
      <c r="Q38">
        <v>13</v>
      </c>
      <c r="R38">
        <f>17+9</f>
        <v>26</v>
      </c>
      <c r="S38">
        <v>10</v>
      </c>
      <c r="T38">
        <f>105+59</f>
        <v>164</v>
      </c>
      <c r="U38" s="3">
        <f>T38/R38</f>
        <v>6.3076923076923075</v>
      </c>
      <c r="V38" s="3">
        <f>T38/S38</f>
        <v>16.399999999999999</v>
      </c>
      <c r="W38" s="4">
        <f>R38*6/S38</f>
        <v>15.6</v>
      </c>
      <c r="X38" t="s">
        <v>1413</v>
      </c>
      <c r="AA38" s="18" t="s">
        <v>1311</v>
      </c>
      <c r="AB38" s="18" t="s">
        <v>20</v>
      </c>
      <c r="AC38" s="18">
        <v>10</v>
      </c>
      <c r="AD38" s="18">
        <v>4</v>
      </c>
      <c r="AE38" s="19">
        <f>AD38/AC38</f>
        <v>0.4</v>
      </c>
      <c r="AF38" s="18"/>
      <c r="AG38" s="18"/>
    </row>
    <row r="39" spans="1:33" x14ac:dyDescent="0.35">
      <c r="A39" t="s">
        <v>1467</v>
      </c>
      <c r="B39" t="s">
        <v>97</v>
      </c>
      <c r="C39">
        <v>2</v>
      </c>
      <c r="D39">
        <v>2</v>
      </c>
      <c r="E39">
        <f>D39+F39</f>
        <v>2</v>
      </c>
      <c r="F39">
        <v>0</v>
      </c>
      <c r="G39">
        <v>0</v>
      </c>
      <c r="H39">
        <v>96</v>
      </c>
      <c r="I39">
        <v>57</v>
      </c>
      <c r="J39" s="3">
        <f>H39/D39</f>
        <v>48</v>
      </c>
      <c r="K39" s="3">
        <f>96/63*100</f>
        <v>152.38095238095238</v>
      </c>
      <c r="L39">
        <v>1</v>
      </c>
      <c r="M39">
        <v>0</v>
      </c>
      <c r="O39" t="s">
        <v>504</v>
      </c>
      <c r="P39" t="s">
        <v>452</v>
      </c>
      <c r="Q39">
        <v>2</v>
      </c>
      <c r="R39">
        <v>2</v>
      </c>
      <c r="S39">
        <v>1</v>
      </c>
      <c r="T39">
        <v>25</v>
      </c>
      <c r="U39" s="3">
        <f>T39/R39</f>
        <v>12.5</v>
      </c>
      <c r="V39" s="3">
        <f>T39/S39</f>
        <v>25</v>
      </c>
      <c r="W39" s="4">
        <f>R39*6/S39</f>
        <v>12</v>
      </c>
      <c r="X39" t="s">
        <v>1216</v>
      </c>
      <c r="AA39" s="18" t="s">
        <v>1472</v>
      </c>
      <c r="AB39" s="18" t="s">
        <v>1190</v>
      </c>
      <c r="AC39" s="18">
        <v>10</v>
      </c>
      <c r="AD39" s="18">
        <v>2</v>
      </c>
      <c r="AE39" s="19">
        <f>AD39/AC39</f>
        <v>0.2</v>
      </c>
      <c r="AF39" s="18">
        <v>1</v>
      </c>
      <c r="AG39" s="18"/>
    </row>
    <row r="40" spans="1:33" x14ac:dyDescent="0.35">
      <c r="A40" t="s">
        <v>331</v>
      </c>
      <c r="B40" t="s">
        <v>332</v>
      </c>
      <c r="C40">
        <v>15</v>
      </c>
      <c r="D40">
        <v>13</v>
      </c>
      <c r="E40">
        <f>D40+F40</f>
        <v>14</v>
      </c>
      <c r="F40">
        <v>1</v>
      </c>
      <c r="G40">
        <v>1</v>
      </c>
      <c r="H40">
        <f>166+65</f>
        <v>231</v>
      </c>
      <c r="I40" t="s">
        <v>1468</v>
      </c>
      <c r="J40" s="3">
        <f>H40/D40</f>
        <v>17.76923076923077</v>
      </c>
      <c r="K40" s="3">
        <f>113/97*100</f>
        <v>116.49484536082475</v>
      </c>
      <c r="L40">
        <v>1</v>
      </c>
      <c r="M40">
        <v>0</v>
      </c>
      <c r="O40" t="s">
        <v>509</v>
      </c>
      <c r="P40" t="s">
        <v>97</v>
      </c>
      <c r="Q40">
        <v>5</v>
      </c>
      <c r="R40">
        <v>0</v>
      </c>
      <c r="S40">
        <v>1</v>
      </c>
      <c r="T40">
        <v>0</v>
      </c>
      <c r="U40" s="3" t="e">
        <f>S40/R40</f>
        <v>#DIV/0!</v>
      </c>
      <c r="V40" s="3">
        <f>T40/S40</f>
        <v>0</v>
      </c>
      <c r="W40" s="4">
        <f>R40*6/S40</f>
        <v>0</v>
      </c>
      <c r="X40">
        <v>1</v>
      </c>
      <c r="AA40" s="18" t="s">
        <v>1511</v>
      </c>
      <c r="AB40" s="18" t="s">
        <v>539</v>
      </c>
      <c r="AC40" s="18">
        <v>50</v>
      </c>
      <c r="AD40" s="18">
        <v>16</v>
      </c>
      <c r="AE40" s="19">
        <f>AD40/AC40</f>
        <v>0.32</v>
      </c>
      <c r="AF40" s="18">
        <v>7</v>
      </c>
      <c r="AG40" s="18"/>
    </row>
    <row r="41" spans="1:33" x14ac:dyDescent="0.35">
      <c r="A41" t="s">
        <v>350</v>
      </c>
      <c r="B41" t="s">
        <v>351</v>
      </c>
      <c r="C41">
        <v>5</v>
      </c>
      <c r="D41">
        <v>0</v>
      </c>
      <c r="E41">
        <f>D41+F41</f>
        <v>1</v>
      </c>
      <c r="F41">
        <v>1</v>
      </c>
      <c r="G41">
        <v>4</v>
      </c>
      <c r="H41">
        <v>1</v>
      </c>
      <c r="I41" t="s">
        <v>1273</v>
      </c>
      <c r="J41" s="3" t="e">
        <f>H41/D41</f>
        <v>#DIV/0!</v>
      </c>
      <c r="K41" t="s">
        <v>1454</v>
      </c>
      <c r="L41">
        <v>0</v>
      </c>
      <c r="M41">
        <v>0</v>
      </c>
      <c r="O41" s="18" t="s">
        <v>1311</v>
      </c>
      <c r="P41" s="18" t="s">
        <v>20</v>
      </c>
      <c r="Q41" s="18">
        <v>10</v>
      </c>
      <c r="R41" s="18">
        <v>10</v>
      </c>
      <c r="S41" s="18">
        <v>0</v>
      </c>
      <c r="T41" s="18">
        <v>74</v>
      </c>
      <c r="U41" s="19">
        <f>T41/R41</f>
        <v>7.4</v>
      </c>
      <c r="V41" s="19" t="e">
        <f>T41/S41</f>
        <v>#DIV/0!</v>
      </c>
      <c r="W41" s="20" t="e">
        <f>R41*6/S41</f>
        <v>#DIV/0!</v>
      </c>
      <c r="X41" s="18" t="s">
        <v>1512</v>
      </c>
      <c r="AA41" t="s">
        <v>543</v>
      </c>
      <c r="AB41" t="s">
        <v>268</v>
      </c>
      <c r="AC41">
        <v>3</v>
      </c>
      <c r="AD41">
        <v>1</v>
      </c>
      <c r="AE41" s="3">
        <f>AD41/AC44</f>
        <v>0.33333333333333331</v>
      </c>
      <c r="AF41">
        <v>1</v>
      </c>
      <c r="AG41">
        <v>1</v>
      </c>
    </row>
    <row r="42" spans="1:33" x14ac:dyDescent="0.35">
      <c r="A42" t="s">
        <v>382</v>
      </c>
      <c r="B42" t="s">
        <v>351</v>
      </c>
      <c r="C42">
        <v>2</v>
      </c>
      <c r="D42">
        <v>2</v>
      </c>
      <c r="E42">
        <f>D42+F42</f>
        <v>2</v>
      </c>
      <c r="F42">
        <v>0</v>
      </c>
      <c r="G42">
        <v>0</v>
      </c>
      <c r="H42">
        <v>7</v>
      </c>
      <c r="I42">
        <v>7</v>
      </c>
      <c r="J42" s="3">
        <f>H42/D42</f>
        <v>3.5</v>
      </c>
      <c r="K42" t="s">
        <v>1454</v>
      </c>
      <c r="L42">
        <v>0</v>
      </c>
      <c r="M42">
        <v>0</v>
      </c>
      <c r="O42" t="s">
        <v>520</v>
      </c>
      <c r="P42" t="s">
        <v>521</v>
      </c>
      <c r="Q42">
        <v>2</v>
      </c>
      <c r="R42">
        <v>7</v>
      </c>
      <c r="S42">
        <v>0</v>
      </c>
      <c r="T42">
        <v>54</v>
      </c>
      <c r="U42" s="3">
        <f>T42/R42</f>
        <v>7.7142857142857144</v>
      </c>
      <c r="V42" s="3" t="e">
        <f>T42/S42</f>
        <v>#DIV/0!</v>
      </c>
      <c r="W42" s="4" t="e">
        <f>R42*6/S42</f>
        <v>#DIV/0!</v>
      </c>
      <c r="X42" t="s">
        <v>1513</v>
      </c>
      <c r="AA42" t="s">
        <v>1362</v>
      </c>
      <c r="AB42" t="s">
        <v>1363</v>
      </c>
      <c r="AC42">
        <v>1</v>
      </c>
      <c r="AD42">
        <v>1</v>
      </c>
      <c r="AE42" s="3">
        <f>AD42/AC42</f>
        <v>1</v>
      </c>
    </row>
    <row r="43" spans="1:33" x14ac:dyDescent="0.35">
      <c r="A43" t="s">
        <v>383</v>
      </c>
      <c r="B43" t="s">
        <v>387</v>
      </c>
      <c r="C43">
        <v>16</v>
      </c>
      <c r="D43">
        <v>11</v>
      </c>
      <c r="E43">
        <f>D43+F43</f>
        <v>16</v>
      </c>
      <c r="F43">
        <v>5</v>
      </c>
      <c r="G43">
        <v>0</v>
      </c>
      <c r="H43">
        <v>365</v>
      </c>
      <c r="I43" t="s">
        <v>1313</v>
      </c>
      <c r="J43" s="3">
        <f>H43/D43</f>
        <v>33.18181818181818</v>
      </c>
      <c r="K43" s="3">
        <f>219/181*100</f>
        <v>120.99447513812154</v>
      </c>
      <c r="L43">
        <v>3</v>
      </c>
      <c r="M43">
        <v>0</v>
      </c>
      <c r="O43" s="18" t="s">
        <v>1472</v>
      </c>
      <c r="P43" s="18" t="s">
        <v>1190</v>
      </c>
      <c r="Q43" s="18">
        <v>10</v>
      </c>
      <c r="R43" s="18">
        <v>13</v>
      </c>
      <c r="S43" s="18">
        <v>2</v>
      </c>
      <c r="T43" s="18">
        <v>75</v>
      </c>
      <c r="U43" s="19">
        <f>T43/R43</f>
        <v>5.7692307692307692</v>
      </c>
      <c r="V43" s="18">
        <f>T43/S43</f>
        <v>37.5</v>
      </c>
      <c r="W43" s="20">
        <f>R43*6/S43</f>
        <v>39</v>
      </c>
      <c r="X43" s="18" t="s">
        <v>1514</v>
      </c>
      <c r="AA43" t="s">
        <v>1473</v>
      </c>
      <c r="AB43" t="s">
        <v>908</v>
      </c>
      <c r="AC43">
        <v>4</v>
      </c>
      <c r="AD43">
        <v>3</v>
      </c>
      <c r="AE43" s="3">
        <f>AD43/AC43</f>
        <v>0.75</v>
      </c>
      <c r="AF43">
        <v>1</v>
      </c>
    </row>
    <row r="44" spans="1:33" x14ac:dyDescent="0.35">
      <c r="A44" t="s">
        <v>383</v>
      </c>
      <c r="B44" t="s">
        <v>1183</v>
      </c>
      <c r="C44">
        <v>4</v>
      </c>
      <c r="D44">
        <v>3</v>
      </c>
      <c r="E44">
        <f>D44+F44</f>
        <v>4</v>
      </c>
      <c r="F44">
        <v>1</v>
      </c>
      <c r="G44">
        <v>0</v>
      </c>
      <c r="H44">
        <v>25</v>
      </c>
      <c r="I44">
        <v>8</v>
      </c>
      <c r="J44" s="3">
        <f>H44/D44</f>
        <v>8.3333333333333339</v>
      </c>
      <c r="K44" s="3">
        <f>25/30*100</f>
        <v>83.333333333333343</v>
      </c>
      <c r="L44">
        <v>0</v>
      </c>
      <c r="M44">
        <v>0</v>
      </c>
      <c r="O44" s="18" t="s">
        <v>538</v>
      </c>
      <c r="P44" s="18" t="s">
        <v>539</v>
      </c>
      <c r="Q44" s="18">
        <v>50</v>
      </c>
      <c r="R44" s="18">
        <f>125.2+20</f>
        <v>145.19999999999999</v>
      </c>
      <c r="S44" s="18">
        <v>49</v>
      </c>
      <c r="T44" s="18">
        <f>783+107</f>
        <v>890</v>
      </c>
      <c r="U44" s="19">
        <f>T44/R44</f>
        <v>6.1294765840220391</v>
      </c>
      <c r="V44" s="19">
        <f>T44/S44</f>
        <v>18.163265306122447</v>
      </c>
      <c r="W44" s="20">
        <f>R44*6/S44</f>
        <v>17.779591836734692</v>
      </c>
      <c r="X44" s="18" t="s">
        <v>1515</v>
      </c>
      <c r="AA44" s="18" t="s">
        <v>607</v>
      </c>
      <c r="AB44" s="18" t="s">
        <v>353</v>
      </c>
      <c r="AC44" s="18">
        <v>3</v>
      </c>
      <c r="AD44" s="18">
        <v>3</v>
      </c>
      <c r="AE44" s="19">
        <f>AD44/AC45</f>
        <v>0.2</v>
      </c>
      <c r="AF44" s="18"/>
      <c r="AG44" s="18"/>
    </row>
    <row r="45" spans="1:33" x14ac:dyDescent="0.35">
      <c r="A45" t="s">
        <v>1469</v>
      </c>
      <c r="B45" t="s">
        <v>947</v>
      </c>
      <c r="C45">
        <v>2</v>
      </c>
      <c r="D45">
        <v>2</v>
      </c>
      <c r="E45">
        <f>D45+F45</f>
        <v>2</v>
      </c>
      <c r="F45">
        <v>0</v>
      </c>
      <c r="G45">
        <v>0</v>
      </c>
      <c r="H45">
        <v>15</v>
      </c>
      <c r="I45">
        <v>15</v>
      </c>
      <c r="J45" s="3">
        <f>H45/D45</f>
        <v>7.5</v>
      </c>
      <c r="K45" t="s">
        <v>1454</v>
      </c>
      <c r="L45">
        <v>0</v>
      </c>
      <c r="M45">
        <v>0</v>
      </c>
      <c r="O45" t="s">
        <v>543</v>
      </c>
      <c r="P45" t="s">
        <v>268</v>
      </c>
      <c r="Q45">
        <v>3</v>
      </c>
      <c r="R45">
        <v>4</v>
      </c>
      <c r="S45">
        <v>1</v>
      </c>
      <c r="T45">
        <v>19</v>
      </c>
      <c r="U45" s="3">
        <f>T45/R45</f>
        <v>4.75</v>
      </c>
      <c r="V45" s="3">
        <f>T45/S45</f>
        <v>19</v>
      </c>
      <c r="W45" s="4">
        <f>R45*6/S45</f>
        <v>24</v>
      </c>
      <c r="X45" t="s">
        <v>1288</v>
      </c>
      <c r="AA45" t="s">
        <v>469</v>
      </c>
      <c r="AB45" t="s">
        <v>146</v>
      </c>
      <c r="AC45">
        <v>15</v>
      </c>
      <c r="AD45">
        <v>4</v>
      </c>
      <c r="AE45" s="3">
        <f>AD45/AC48</f>
        <v>0.23529411764705882</v>
      </c>
      <c r="AF45">
        <v>1</v>
      </c>
      <c r="AG45">
        <v>4</v>
      </c>
    </row>
    <row r="46" spans="1:33" x14ac:dyDescent="0.35">
      <c r="A46" s="32" t="s">
        <v>402</v>
      </c>
      <c r="B46" t="s">
        <v>166</v>
      </c>
      <c r="C46">
        <v>6</v>
      </c>
      <c r="D46">
        <v>0</v>
      </c>
      <c r="E46">
        <f>D46+F46</f>
        <v>0</v>
      </c>
      <c r="F46">
        <v>0</v>
      </c>
      <c r="G46">
        <v>6</v>
      </c>
      <c r="H46">
        <v>0</v>
      </c>
      <c r="I46">
        <v>0</v>
      </c>
      <c r="J46" s="3" t="e">
        <f>H46/D46</f>
        <v>#DIV/0!</v>
      </c>
      <c r="K46" t="s">
        <v>1454</v>
      </c>
      <c r="L46">
        <v>0</v>
      </c>
      <c r="M46">
        <v>0</v>
      </c>
      <c r="O46" t="s">
        <v>544</v>
      </c>
      <c r="P46" t="s">
        <v>546</v>
      </c>
      <c r="Q46">
        <v>4</v>
      </c>
      <c r="R46">
        <v>9.5</v>
      </c>
      <c r="S46">
        <v>4</v>
      </c>
      <c r="T46">
        <f>36+31</f>
        <v>67</v>
      </c>
      <c r="U46" s="3">
        <f>T46/R46</f>
        <v>7.0526315789473681</v>
      </c>
      <c r="V46" s="3">
        <f>T46/S46</f>
        <v>16.75</v>
      </c>
      <c r="W46" s="4">
        <f>24/2</f>
        <v>12</v>
      </c>
      <c r="X46" t="s">
        <v>1208</v>
      </c>
      <c r="AA46" t="s">
        <v>672</v>
      </c>
      <c r="AB46" t="s">
        <v>1478</v>
      </c>
      <c r="AC46">
        <v>3</v>
      </c>
      <c r="AD46">
        <v>1</v>
      </c>
      <c r="AE46" s="3">
        <f>AD46/AC46</f>
        <v>0.33333333333333331</v>
      </c>
    </row>
    <row r="47" spans="1:33" x14ac:dyDescent="0.35">
      <c r="A47" t="s">
        <v>430</v>
      </c>
      <c r="B47" t="s">
        <v>431</v>
      </c>
      <c r="C47">
        <v>3</v>
      </c>
      <c r="D47">
        <v>1</v>
      </c>
      <c r="E47">
        <f>D47+F47</f>
        <v>1</v>
      </c>
      <c r="F47">
        <v>0</v>
      </c>
      <c r="G47">
        <v>2</v>
      </c>
      <c r="H47">
        <v>0</v>
      </c>
      <c r="I47">
        <v>0</v>
      </c>
      <c r="J47" s="3">
        <f>H47/D47</f>
        <v>0</v>
      </c>
      <c r="K47" t="s">
        <v>1454</v>
      </c>
      <c r="L47">
        <v>0</v>
      </c>
      <c r="M47">
        <v>0</v>
      </c>
      <c r="O47" t="s">
        <v>1362</v>
      </c>
      <c r="P47" t="s">
        <v>1363</v>
      </c>
      <c r="Q47">
        <v>1</v>
      </c>
      <c r="R47">
        <v>4</v>
      </c>
      <c r="S47">
        <v>2</v>
      </c>
      <c r="T47">
        <v>23</v>
      </c>
      <c r="U47" s="3">
        <f>T47/R47</f>
        <v>5.75</v>
      </c>
      <c r="V47" s="3">
        <f>T47/S47</f>
        <v>11.5</v>
      </c>
      <c r="W47" s="4">
        <f>R47*6/S47</f>
        <v>12</v>
      </c>
      <c r="X47" t="s">
        <v>1120</v>
      </c>
      <c r="AA47" s="18" t="s">
        <v>1195</v>
      </c>
      <c r="AB47" s="18" t="s">
        <v>110</v>
      </c>
      <c r="AC47" s="18">
        <v>17</v>
      </c>
      <c r="AD47" s="18">
        <v>5</v>
      </c>
      <c r="AE47" s="19">
        <f>AD47/AC47</f>
        <v>0.29411764705882354</v>
      </c>
      <c r="AF47" s="18">
        <v>2</v>
      </c>
      <c r="AG47" s="18"/>
    </row>
    <row r="48" spans="1:33" x14ac:dyDescent="0.35">
      <c r="A48" t="s">
        <v>447</v>
      </c>
      <c r="B48" t="s">
        <v>156</v>
      </c>
      <c r="C48">
        <v>9</v>
      </c>
      <c r="D48">
        <v>3</v>
      </c>
      <c r="E48">
        <f>D48+F48</f>
        <v>4</v>
      </c>
      <c r="F48">
        <v>1</v>
      </c>
      <c r="G48">
        <v>5</v>
      </c>
      <c r="H48">
        <v>37</v>
      </c>
      <c r="I48">
        <v>20</v>
      </c>
      <c r="J48" s="3">
        <f>H48/D48</f>
        <v>12.333333333333334</v>
      </c>
      <c r="K48" s="3">
        <f>20/19*100</f>
        <v>105.26315789473684</v>
      </c>
      <c r="L48">
        <v>0</v>
      </c>
      <c r="M48">
        <v>0</v>
      </c>
      <c r="O48" t="s">
        <v>1111</v>
      </c>
      <c r="P48" t="s">
        <v>1112</v>
      </c>
      <c r="Q48">
        <v>1</v>
      </c>
      <c r="R48">
        <v>4</v>
      </c>
      <c r="S48">
        <v>1</v>
      </c>
      <c r="T48">
        <v>21</v>
      </c>
      <c r="U48" s="3">
        <f>T48/R48</f>
        <v>5.25</v>
      </c>
      <c r="V48" s="3">
        <f>T48/S48</f>
        <v>21</v>
      </c>
      <c r="W48" s="4">
        <f>R48*6/S48</f>
        <v>24</v>
      </c>
      <c r="X48" t="s">
        <v>1160</v>
      </c>
      <c r="AA48" t="s">
        <v>260</v>
      </c>
      <c r="AB48" t="s">
        <v>452</v>
      </c>
      <c r="AC48">
        <v>17</v>
      </c>
      <c r="AD48">
        <v>4</v>
      </c>
      <c r="AE48" s="3">
        <f>AD48/AC49</f>
        <v>0.66666666666666663</v>
      </c>
    </row>
    <row r="49" spans="1:33" x14ac:dyDescent="0.35">
      <c r="A49" t="s">
        <v>460</v>
      </c>
      <c r="B49" t="s">
        <v>813</v>
      </c>
      <c r="C49">
        <v>2</v>
      </c>
      <c r="D49">
        <v>2</v>
      </c>
      <c r="E49">
        <f>D49+F49</f>
        <v>2</v>
      </c>
      <c r="F49">
        <v>0</v>
      </c>
      <c r="G49">
        <v>0</v>
      </c>
      <c r="H49">
        <v>33</v>
      </c>
      <c r="I49">
        <v>26</v>
      </c>
      <c r="J49" s="3">
        <f>H49/D49</f>
        <v>16.5</v>
      </c>
      <c r="K49" t="s">
        <v>1454</v>
      </c>
      <c r="L49">
        <v>0</v>
      </c>
      <c r="M49">
        <v>0</v>
      </c>
      <c r="O49" t="s">
        <v>1473</v>
      </c>
      <c r="P49" t="s">
        <v>908</v>
      </c>
      <c r="Q49">
        <v>4</v>
      </c>
      <c r="R49">
        <v>14.4</v>
      </c>
      <c r="S49">
        <v>5</v>
      </c>
      <c r="T49">
        <v>61</v>
      </c>
      <c r="U49" s="3">
        <f>T49/R49</f>
        <v>4.2361111111111107</v>
      </c>
      <c r="V49" s="3">
        <f>T49/S49</f>
        <v>12.2</v>
      </c>
      <c r="W49" s="4">
        <f>R49*6/S49</f>
        <v>17.28</v>
      </c>
      <c r="X49" t="s">
        <v>1516</v>
      </c>
      <c r="AA49" t="s">
        <v>722</v>
      </c>
      <c r="AB49" t="s">
        <v>769</v>
      </c>
      <c r="AC49">
        <v>6</v>
      </c>
      <c r="AD49">
        <v>1</v>
      </c>
      <c r="AE49" s="3">
        <f>AD49/AC51</f>
        <v>0.5</v>
      </c>
    </row>
    <row r="50" spans="1:33" x14ac:dyDescent="0.35">
      <c r="A50" s="18" t="s">
        <v>470</v>
      </c>
      <c r="B50" s="18" t="s">
        <v>556</v>
      </c>
      <c r="C50" s="18">
        <v>8</v>
      </c>
      <c r="D50" s="18">
        <v>1</v>
      </c>
      <c r="E50" s="18">
        <f>D50+F50</f>
        <v>2</v>
      </c>
      <c r="F50" s="18">
        <v>1</v>
      </c>
      <c r="G50" s="18">
        <v>5</v>
      </c>
      <c r="H50" s="18">
        <v>8</v>
      </c>
      <c r="I50" s="18">
        <v>7</v>
      </c>
      <c r="J50" s="19">
        <f>H50/D50</f>
        <v>8</v>
      </c>
      <c r="K50" s="19">
        <f>8/11*100</f>
        <v>72.727272727272734</v>
      </c>
      <c r="L50" s="18">
        <v>0</v>
      </c>
      <c r="M50" s="18">
        <v>0</v>
      </c>
      <c r="O50" t="s">
        <v>1474</v>
      </c>
      <c r="P50" t="s">
        <v>591</v>
      </c>
      <c r="Q50">
        <v>3</v>
      </c>
      <c r="R50">
        <v>5</v>
      </c>
      <c r="S50">
        <v>2</v>
      </c>
      <c r="T50">
        <v>25</v>
      </c>
      <c r="U50" s="3">
        <f>T50/R50</f>
        <v>5</v>
      </c>
      <c r="V50" s="3">
        <f>T50/S50</f>
        <v>12.5</v>
      </c>
      <c r="W50" s="4">
        <f>R50*6/S50</f>
        <v>15</v>
      </c>
      <c r="X50" t="s">
        <v>1216</v>
      </c>
      <c r="AA50" s="18" t="s">
        <v>736</v>
      </c>
      <c r="AB50" s="18" t="s">
        <v>737</v>
      </c>
      <c r="AC50" s="18">
        <v>3</v>
      </c>
      <c r="AD50" s="18">
        <v>1</v>
      </c>
      <c r="AE50" s="19">
        <f>AD50/AC50</f>
        <v>0.33333333333333331</v>
      </c>
      <c r="AF50" s="18"/>
      <c r="AG50" s="18"/>
    </row>
    <row r="51" spans="1:33" x14ac:dyDescent="0.35">
      <c r="A51" t="s">
        <v>470</v>
      </c>
      <c r="B51" t="s">
        <v>226</v>
      </c>
      <c r="C51">
        <v>1</v>
      </c>
      <c r="D51">
        <v>1</v>
      </c>
      <c r="E51">
        <f>D51+F51</f>
        <v>1</v>
      </c>
      <c r="F51">
        <v>0</v>
      </c>
      <c r="G51">
        <v>0</v>
      </c>
      <c r="H51">
        <v>2</v>
      </c>
      <c r="I51">
        <v>2</v>
      </c>
      <c r="J51" s="3">
        <f>H51/D51</f>
        <v>2</v>
      </c>
      <c r="K51" t="s">
        <v>1454</v>
      </c>
      <c r="L51">
        <v>0</v>
      </c>
      <c r="M51">
        <v>0</v>
      </c>
      <c r="O51" t="s">
        <v>598</v>
      </c>
      <c r="P51" t="s">
        <v>183</v>
      </c>
      <c r="Q51">
        <v>2</v>
      </c>
      <c r="R51">
        <v>4</v>
      </c>
      <c r="S51">
        <v>1</v>
      </c>
      <c r="T51">
        <v>16</v>
      </c>
      <c r="U51" s="3">
        <f>T51/R51</f>
        <v>4</v>
      </c>
      <c r="V51" s="3">
        <f>T51/S51</f>
        <v>16</v>
      </c>
      <c r="W51" s="4">
        <f>R51*6/S51</f>
        <v>24</v>
      </c>
      <c r="X51" t="s">
        <v>1124</v>
      </c>
      <c r="AA51" t="s">
        <v>751</v>
      </c>
      <c r="AB51" t="s">
        <v>752</v>
      </c>
      <c r="AC51">
        <v>2</v>
      </c>
      <c r="AD51">
        <v>1</v>
      </c>
      <c r="AE51" s="3">
        <f>AD51/AC52</f>
        <v>0.5</v>
      </c>
    </row>
    <row r="52" spans="1:33" x14ac:dyDescent="0.35">
      <c r="A52" t="s">
        <v>478</v>
      </c>
      <c r="B52" t="s">
        <v>1470</v>
      </c>
      <c r="C52">
        <v>5</v>
      </c>
      <c r="D52">
        <v>4</v>
      </c>
      <c r="E52">
        <f>D52+F52</f>
        <v>4</v>
      </c>
      <c r="F52">
        <v>0</v>
      </c>
      <c r="G52">
        <v>1</v>
      </c>
      <c r="H52">
        <v>65</v>
      </c>
      <c r="I52">
        <v>40</v>
      </c>
      <c r="J52" s="3">
        <f>H52/D52</f>
        <v>16.25</v>
      </c>
      <c r="K52" s="3">
        <f>4/3*100</f>
        <v>133.33333333333331</v>
      </c>
      <c r="L52">
        <v>0</v>
      </c>
      <c r="M52">
        <v>0</v>
      </c>
      <c r="O52" t="s">
        <v>1475</v>
      </c>
      <c r="P52" t="s">
        <v>689</v>
      </c>
      <c r="Q52">
        <v>2</v>
      </c>
      <c r="R52">
        <v>4</v>
      </c>
      <c r="S52">
        <v>0</v>
      </c>
      <c r="T52">
        <v>33</v>
      </c>
      <c r="U52" s="3">
        <f>T52/R52</f>
        <v>8.25</v>
      </c>
      <c r="V52" s="3" t="e">
        <f>T52/S52</f>
        <v>#DIV/0!</v>
      </c>
      <c r="W52" s="4" t="e">
        <f>R52*6/S52</f>
        <v>#DIV/0!</v>
      </c>
      <c r="X52" t="s">
        <v>1180</v>
      </c>
      <c r="AA52" t="s">
        <v>758</v>
      </c>
      <c r="AB52" t="s">
        <v>760</v>
      </c>
      <c r="AC52">
        <v>2</v>
      </c>
      <c r="AD52">
        <v>1</v>
      </c>
      <c r="AE52" s="3">
        <f>AD52/AC53</f>
        <v>0.5</v>
      </c>
    </row>
    <row r="53" spans="1:33" x14ac:dyDescent="0.35">
      <c r="A53" t="s">
        <v>487</v>
      </c>
      <c r="B53" t="s">
        <v>97</v>
      </c>
      <c r="C53">
        <v>13</v>
      </c>
      <c r="D53">
        <v>5</v>
      </c>
      <c r="E53">
        <f>D53+F53</f>
        <v>8</v>
      </c>
      <c r="F53">
        <v>3</v>
      </c>
      <c r="G53">
        <v>5</v>
      </c>
      <c r="H53">
        <v>42</v>
      </c>
      <c r="I53">
        <v>17</v>
      </c>
      <c r="J53" s="3">
        <f>H53/D53</f>
        <v>8.4</v>
      </c>
      <c r="K53" s="3">
        <f>23/25*100</f>
        <v>92</v>
      </c>
      <c r="L53">
        <v>0</v>
      </c>
      <c r="M53">
        <v>0</v>
      </c>
      <c r="O53" t="s">
        <v>1476</v>
      </c>
      <c r="P53" t="s">
        <v>422</v>
      </c>
      <c r="Q53">
        <v>2</v>
      </c>
      <c r="R53">
        <v>4</v>
      </c>
      <c r="S53">
        <v>0</v>
      </c>
      <c r="T53">
        <v>38</v>
      </c>
      <c r="U53" s="3">
        <f>T53/R53</f>
        <v>9.5</v>
      </c>
      <c r="V53" s="3" t="e">
        <f>T53/S53</f>
        <v>#DIV/0!</v>
      </c>
      <c r="W53" s="4" t="e">
        <f>R53*6/S53</f>
        <v>#DIV/0!</v>
      </c>
      <c r="X53" t="s">
        <v>1509</v>
      </c>
      <c r="AA53" t="s">
        <v>784</v>
      </c>
      <c r="AB53" t="s">
        <v>96</v>
      </c>
      <c r="AC53">
        <v>2</v>
      </c>
      <c r="AD53">
        <v>1</v>
      </c>
      <c r="AE53" s="3">
        <f>AD53/AC60</f>
        <v>0.33333333333333331</v>
      </c>
    </row>
    <row r="54" spans="1:33" x14ac:dyDescent="0.35">
      <c r="A54" t="s">
        <v>500</v>
      </c>
      <c r="B54" t="s">
        <v>125</v>
      </c>
      <c r="C54">
        <v>1</v>
      </c>
      <c r="D54">
        <v>1</v>
      </c>
      <c r="E54">
        <f>D54+F54</f>
        <v>1</v>
      </c>
      <c r="F54">
        <v>0</v>
      </c>
      <c r="G54">
        <v>0</v>
      </c>
      <c r="H54">
        <v>10</v>
      </c>
      <c r="I54">
        <v>10</v>
      </c>
      <c r="J54" s="3">
        <f>H54/D54</f>
        <v>10</v>
      </c>
      <c r="K54" t="s">
        <v>1454</v>
      </c>
      <c r="L54">
        <v>0</v>
      </c>
      <c r="M54">
        <v>0</v>
      </c>
      <c r="O54" t="s">
        <v>469</v>
      </c>
      <c r="P54" t="s">
        <v>146</v>
      </c>
      <c r="Q54">
        <v>15</v>
      </c>
      <c r="R54">
        <v>11</v>
      </c>
      <c r="S54">
        <v>4</v>
      </c>
      <c r="T54">
        <f>32+26</f>
        <v>58</v>
      </c>
      <c r="U54" s="3">
        <f>T54/R54</f>
        <v>5.2727272727272725</v>
      </c>
      <c r="V54" s="3">
        <f>T54/S54</f>
        <v>14.5</v>
      </c>
      <c r="W54" s="4">
        <f>24/2</f>
        <v>12</v>
      </c>
      <c r="X54" t="s">
        <v>1200</v>
      </c>
      <c r="AA54" s="18" t="s">
        <v>789</v>
      </c>
      <c r="AB54" s="18" t="s">
        <v>71</v>
      </c>
      <c r="AC54" s="18">
        <v>18</v>
      </c>
      <c r="AD54" s="18">
        <v>7</v>
      </c>
      <c r="AE54" s="19">
        <f>AD54/AC54</f>
        <v>0.3888888888888889</v>
      </c>
      <c r="AF54" s="18">
        <v>2</v>
      </c>
      <c r="AG54" s="18"/>
    </row>
    <row r="55" spans="1:33" x14ac:dyDescent="0.35">
      <c r="A55" t="s">
        <v>504</v>
      </c>
      <c r="B55" t="s">
        <v>452</v>
      </c>
      <c r="C55">
        <v>2</v>
      </c>
      <c r="D55">
        <v>0</v>
      </c>
      <c r="E55">
        <f>D55+F55</f>
        <v>0</v>
      </c>
      <c r="F55">
        <v>0</v>
      </c>
      <c r="G55">
        <v>2</v>
      </c>
      <c r="H55">
        <v>0</v>
      </c>
      <c r="I55">
        <v>0</v>
      </c>
      <c r="J55" s="3" t="e">
        <f>H55/D55</f>
        <v>#DIV/0!</v>
      </c>
      <c r="K55" t="s">
        <v>1454</v>
      </c>
      <c r="L55">
        <v>0</v>
      </c>
      <c r="M55">
        <v>0</v>
      </c>
      <c r="O55" s="18" t="s">
        <v>1195</v>
      </c>
      <c r="P55" s="18" t="s">
        <v>110</v>
      </c>
      <c r="Q55" s="18">
        <v>17</v>
      </c>
      <c r="R55" s="18">
        <v>11.3</v>
      </c>
      <c r="S55" s="18">
        <v>3</v>
      </c>
      <c r="T55" s="18">
        <v>124</v>
      </c>
      <c r="U55" s="19">
        <f>T55/R55</f>
        <v>10.973451327433628</v>
      </c>
      <c r="V55" s="19">
        <f>T55/S55</f>
        <v>41.333333333333336</v>
      </c>
      <c r="W55" s="20">
        <f>R55*6/S55</f>
        <v>22.600000000000005</v>
      </c>
      <c r="X55" s="18" t="s">
        <v>1149</v>
      </c>
      <c r="AA55" t="s">
        <v>808</v>
      </c>
      <c r="AB55" t="s">
        <v>809</v>
      </c>
      <c r="AC55">
        <v>7</v>
      </c>
      <c r="AF55">
        <v>1</v>
      </c>
    </row>
    <row r="56" spans="1:33" x14ac:dyDescent="0.35">
      <c r="A56" t="s">
        <v>509</v>
      </c>
      <c r="B56" t="s">
        <v>97</v>
      </c>
      <c r="C56">
        <v>5</v>
      </c>
      <c r="D56">
        <v>2</v>
      </c>
      <c r="E56">
        <f>D56+F56</f>
        <v>5</v>
      </c>
      <c r="F56">
        <v>3</v>
      </c>
      <c r="G56">
        <v>0</v>
      </c>
      <c r="H56">
        <v>29</v>
      </c>
      <c r="I56">
        <v>9</v>
      </c>
      <c r="J56" s="3">
        <f>H56/D56</f>
        <v>14.5</v>
      </c>
      <c r="K56" t="s">
        <v>1454</v>
      </c>
      <c r="L56">
        <v>0</v>
      </c>
      <c r="M56">
        <v>0</v>
      </c>
      <c r="O56" t="s">
        <v>260</v>
      </c>
      <c r="P56" t="s">
        <v>452</v>
      </c>
      <c r="Q56">
        <v>17</v>
      </c>
      <c r="R56">
        <v>1</v>
      </c>
      <c r="S56">
        <v>0</v>
      </c>
      <c r="T56">
        <v>6</v>
      </c>
      <c r="U56" s="3">
        <f>T56/R56</f>
        <v>6</v>
      </c>
      <c r="V56" s="3" t="e">
        <f>T56/S56</f>
        <v>#DIV/0!</v>
      </c>
      <c r="W56" s="4" t="e">
        <f>R56*6/S56</f>
        <v>#DIV/0!</v>
      </c>
      <c r="X56" t="s">
        <v>1293</v>
      </c>
      <c r="AA56" t="s">
        <v>849</v>
      </c>
      <c r="AB56" t="s">
        <v>1357</v>
      </c>
      <c r="AC56">
        <v>17</v>
      </c>
      <c r="AD56">
        <v>9</v>
      </c>
      <c r="AE56" s="3">
        <f>AD56/AC56</f>
        <v>0.52941176470588236</v>
      </c>
      <c r="AF56">
        <v>3</v>
      </c>
    </row>
    <row r="57" spans="1:33" x14ac:dyDescent="0.35">
      <c r="A57" s="18" t="s">
        <v>1311</v>
      </c>
      <c r="B57" s="18" t="s">
        <v>20</v>
      </c>
      <c r="C57" s="18">
        <v>10</v>
      </c>
      <c r="D57" s="18">
        <v>8</v>
      </c>
      <c r="E57" s="18">
        <f>D57+F57</f>
        <v>9</v>
      </c>
      <c r="F57" s="18">
        <v>1</v>
      </c>
      <c r="G57" s="18">
        <v>1</v>
      </c>
      <c r="H57" s="18">
        <f>88+34</f>
        <v>122</v>
      </c>
      <c r="I57" s="18" t="s">
        <v>1471</v>
      </c>
      <c r="J57" s="19">
        <f>H57/D57</f>
        <v>15.25</v>
      </c>
      <c r="K57" s="19">
        <f>122/149*100</f>
        <v>81.87919463087249</v>
      </c>
      <c r="L57" s="18">
        <v>0</v>
      </c>
      <c r="M57" s="18">
        <v>0</v>
      </c>
      <c r="O57" s="18" t="s">
        <v>697</v>
      </c>
      <c r="P57" s="18" t="s">
        <v>473</v>
      </c>
      <c r="Q57" s="18">
        <v>2</v>
      </c>
      <c r="R57" s="18">
        <v>5</v>
      </c>
      <c r="S57" s="18">
        <v>1</v>
      </c>
      <c r="T57" s="18">
        <v>42</v>
      </c>
      <c r="U57" s="19">
        <f>T57/R57</f>
        <v>8.4</v>
      </c>
      <c r="V57" s="19">
        <f>T57/S57</f>
        <v>42</v>
      </c>
      <c r="W57" s="20">
        <f>R57*6/S57</f>
        <v>30</v>
      </c>
      <c r="X57" s="18" t="s">
        <v>1517</v>
      </c>
      <c r="AA57" t="s">
        <v>1107</v>
      </c>
      <c r="AB57" t="s">
        <v>1480</v>
      </c>
      <c r="AC57">
        <v>8</v>
      </c>
      <c r="AD57">
        <v>5</v>
      </c>
      <c r="AE57" s="3">
        <f>AD57/AC57</f>
        <v>0.625</v>
      </c>
      <c r="AF57">
        <v>3</v>
      </c>
    </row>
    <row r="58" spans="1:33" x14ac:dyDescent="0.35">
      <c r="A58" t="s">
        <v>520</v>
      </c>
      <c r="B58" t="s">
        <v>521</v>
      </c>
      <c r="C58">
        <v>2</v>
      </c>
      <c r="D58">
        <v>1</v>
      </c>
      <c r="E58">
        <f>D58+F58</f>
        <v>1</v>
      </c>
      <c r="F58">
        <v>0</v>
      </c>
      <c r="G58">
        <v>1</v>
      </c>
      <c r="H58">
        <v>14</v>
      </c>
      <c r="I58">
        <v>14</v>
      </c>
      <c r="J58" s="3">
        <f>H58/D58</f>
        <v>14</v>
      </c>
      <c r="K58" t="s">
        <v>1454</v>
      </c>
      <c r="L58">
        <v>0</v>
      </c>
      <c r="M58">
        <v>0</v>
      </c>
      <c r="O58" t="s">
        <v>707</v>
      </c>
      <c r="P58" t="s">
        <v>176</v>
      </c>
      <c r="Q58">
        <v>1</v>
      </c>
      <c r="R58">
        <v>1</v>
      </c>
      <c r="S58">
        <v>0</v>
      </c>
      <c r="T58">
        <v>9</v>
      </c>
      <c r="U58" s="3">
        <f>T58/R58</f>
        <v>9</v>
      </c>
      <c r="V58" s="3" t="e">
        <f>T58/S58</f>
        <v>#DIV/0!</v>
      </c>
      <c r="W58" s="4" t="e">
        <f>R58*6/S58</f>
        <v>#DIV/0!</v>
      </c>
      <c r="X58" t="s">
        <v>1218</v>
      </c>
      <c r="AA58" t="s">
        <v>906</v>
      </c>
      <c r="AB58" t="s">
        <v>907</v>
      </c>
      <c r="AC58">
        <v>3</v>
      </c>
      <c r="AD58">
        <v>1</v>
      </c>
      <c r="AE58" s="3">
        <f>AD58/AC58</f>
        <v>0.33333333333333331</v>
      </c>
      <c r="AF58">
        <v>1</v>
      </c>
    </row>
    <row r="59" spans="1:33" x14ac:dyDescent="0.35">
      <c r="A59" s="18" t="s">
        <v>1472</v>
      </c>
      <c r="B59" s="18" t="s">
        <v>1190</v>
      </c>
      <c r="C59" s="18">
        <v>10</v>
      </c>
      <c r="D59" s="18">
        <v>3</v>
      </c>
      <c r="E59" s="18">
        <f>D59+F59</f>
        <v>5</v>
      </c>
      <c r="F59" s="18">
        <v>2</v>
      </c>
      <c r="G59" s="18">
        <v>5</v>
      </c>
      <c r="H59" s="18">
        <v>24</v>
      </c>
      <c r="I59" s="18">
        <v>18</v>
      </c>
      <c r="J59" s="19">
        <f>H59/D59</f>
        <v>8</v>
      </c>
      <c r="K59" s="19">
        <f>24/32*100</f>
        <v>75</v>
      </c>
      <c r="L59" s="18">
        <v>0</v>
      </c>
      <c r="M59" s="18">
        <v>0</v>
      </c>
      <c r="O59" t="s">
        <v>722</v>
      </c>
      <c r="P59" t="s">
        <v>769</v>
      </c>
      <c r="Q59">
        <v>6</v>
      </c>
      <c r="R59">
        <v>23</v>
      </c>
      <c r="S59">
        <v>12</v>
      </c>
      <c r="T59">
        <f>56+33</f>
        <v>89</v>
      </c>
      <c r="U59" s="3">
        <f>T59/R59</f>
        <v>3.8695652173913042</v>
      </c>
      <c r="V59" s="3">
        <f>T59/S59</f>
        <v>7.416666666666667</v>
      </c>
      <c r="W59" s="4">
        <f>R59*6/S59</f>
        <v>11.5</v>
      </c>
      <c r="X59" t="s">
        <v>1515</v>
      </c>
      <c r="AA59" t="s">
        <v>1365</v>
      </c>
      <c r="AB59" t="s">
        <v>1366</v>
      </c>
      <c r="AC59">
        <v>2</v>
      </c>
      <c r="AF59">
        <v>1</v>
      </c>
    </row>
    <row r="60" spans="1:33" x14ac:dyDescent="0.35">
      <c r="A60" s="18" t="s">
        <v>538</v>
      </c>
      <c r="B60" s="18" t="s">
        <v>539</v>
      </c>
      <c r="C60" s="18">
        <v>50</v>
      </c>
      <c r="D60" s="18">
        <v>22</v>
      </c>
      <c r="E60" s="18">
        <f>D60+F60</f>
        <v>33</v>
      </c>
      <c r="F60" s="18">
        <v>11</v>
      </c>
      <c r="G60" s="18">
        <v>18</v>
      </c>
      <c r="H60" s="18">
        <f>310+79</f>
        <v>389</v>
      </c>
      <c r="I60" s="18">
        <v>71</v>
      </c>
      <c r="J60" s="19">
        <f>H60/D60</f>
        <v>17.681818181818183</v>
      </c>
      <c r="K60" s="19">
        <f>291/258*100</f>
        <v>112.79069767441861</v>
      </c>
      <c r="L60" s="18">
        <v>1</v>
      </c>
      <c r="M60" s="18">
        <v>0</v>
      </c>
      <c r="O60" s="18" t="s">
        <v>736</v>
      </c>
      <c r="P60" s="18" t="s">
        <v>737</v>
      </c>
      <c r="Q60" s="18">
        <v>3</v>
      </c>
      <c r="R60" s="18">
        <v>5</v>
      </c>
      <c r="S60" s="18">
        <v>1</v>
      </c>
      <c r="T60" s="18">
        <v>38</v>
      </c>
      <c r="U60" s="19">
        <f>T60/R60</f>
        <v>7.6</v>
      </c>
      <c r="V60" s="19">
        <f>T60/S60</f>
        <v>38</v>
      </c>
      <c r="W60" s="20">
        <f>R60*6/S60</f>
        <v>30</v>
      </c>
      <c r="X60" s="18" t="s">
        <v>1216</v>
      </c>
      <c r="AA60" t="s">
        <v>930</v>
      </c>
      <c r="AB60" t="s">
        <v>384</v>
      </c>
      <c r="AC60">
        <v>3</v>
      </c>
      <c r="AD60">
        <v>1</v>
      </c>
      <c r="AE60" s="3">
        <f>AD60/AC61</f>
        <v>0.14285714285714285</v>
      </c>
    </row>
    <row r="61" spans="1:33" x14ac:dyDescent="0.35">
      <c r="A61" t="s">
        <v>543</v>
      </c>
      <c r="B61" t="s">
        <v>268</v>
      </c>
      <c r="C61">
        <v>3</v>
      </c>
      <c r="D61">
        <v>1</v>
      </c>
      <c r="E61">
        <f>D61+F61</f>
        <v>3</v>
      </c>
      <c r="F61">
        <v>2</v>
      </c>
      <c r="G61">
        <v>0</v>
      </c>
      <c r="H61">
        <v>191</v>
      </c>
      <c r="I61" t="s">
        <v>1313</v>
      </c>
      <c r="J61" s="3">
        <f>H61/D61</f>
        <v>191</v>
      </c>
      <c r="K61" t="s">
        <v>1454</v>
      </c>
      <c r="L61">
        <v>3</v>
      </c>
      <c r="M61">
        <v>0</v>
      </c>
      <c r="O61" s="18" t="s">
        <v>755</v>
      </c>
      <c r="P61" s="18" t="s">
        <v>756</v>
      </c>
      <c r="Q61" s="18">
        <v>2</v>
      </c>
      <c r="R61" s="18">
        <v>6.3</v>
      </c>
      <c r="S61" s="18">
        <v>2</v>
      </c>
      <c r="T61" s="18">
        <f>25+18</f>
        <v>43</v>
      </c>
      <c r="U61" s="19">
        <f>T61/R61</f>
        <v>6.825396825396826</v>
      </c>
      <c r="V61" s="19">
        <f>T61/S61</f>
        <v>21.5</v>
      </c>
      <c r="W61" s="18">
        <f>R61*6/S61</f>
        <v>18.899999999999999</v>
      </c>
      <c r="X61" s="18" t="s">
        <v>1505</v>
      </c>
      <c r="AA61" t="s">
        <v>937</v>
      </c>
      <c r="AB61" t="s">
        <v>156</v>
      </c>
      <c r="AC61">
        <v>7</v>
      </c>
      <c r="AD61">
        <v>1</v>
      </c>
      <c r="AE61" s="3">
        <f>AD61/AC63</f>
        <v>0.5</v>
      </c>
    </row>
    <row r="62" spans="1:33" x14ac:dyDescent="0.35">
      <c r="A62" t="s">
        <v>544</v>
      </c>
      <c r="B62" t="s">
        <v>546</v>
      </c>
      <c r="C62">
        <v>4</v>
      </c>
      <c r="D62">
        <v>2</v>
      </c>
      <c r="E62">
        <f>D62+F62</f>
        <v>2</v>
      </c>
      <c r="F62">
        <v>0</v>
      </c>
      <c r="G62">
        <v>2</v>
      </c>
      <c r="H62">
        <v>2</v>
      </c>
      <c r="I62">
        <v>2</v>
      </c>
      <c r="J62" s="3">
        <f>H62/D62</f>
        <v>1</v>
      </c>
      <c r="K62" t="s">
        <v>1454</v>
      </c>
      <c r="L62">
        <v>0</v>
      </c>
      <c r="M62">
        <v>0</v>
      </c>
      <c r="O62" t="s">
        <v>758</v>
      </c>
      <c r="P62" t="s">
        <v>760</v>
      </c>
      <c r="Q62">
        <v>2</v>
      </c>
      <c r="R62">
        <v>2</v>
      </c>
      <c r="S62">
        <v>3</v>
      </c>
      <c r="T62">
        <v>7</v>
      </c>
      <c r="U62" s="3">
        <f>T62/R62</f>
        <v>3.5</v>
      </c>
      <c r="V62" s="3">
        <f>T62/S62</f>
        <v>2.3333333333333335</v>
      </c>
      <c r="W62" s="4">
        <f>R62*6/S62</f>
        <v>4</v>
      </c>
      <c r="X62" t="s">
        <v>1518</v>
      </c>
      <c r="AA62" t="s">
        <v>948</v>
      </c>
      <c r="AB62" t="s">
        <v>949</v>
      </c>
      <c r="AC62">
        <v>1</v>
      </c>
      <c r="AF62">
        <v>1</v>
      </c>
    </row>
    <row r="63" spans="1:33" x14ac:dyDescent="0.35">
      <c r="A63" t="s">
        <v>1362</v>
      </c>
      <c r="B63" t="s">
        <v>1363</v>
      </c>
      <c r="C63">
        <v>1</v>
      </c>
      <c r="D63">
        <v>0</v>
      </c>
      <c r="E63">
        <f>D63+F63</f>
        <v>0</v>
      </c>
      <c r="F63">
        <v>0</v>
      </c>
      <c r="G63">
        <v>1</v>
      </c>
      <c r="H63">
        <v>0</v>
      </c>
      <c r="I63">
        <v>0</v>
      </c>
      <c r="J63" s="3" t="e">
        <f>H63/D63</f>
        <v>#DIV/0!</v>
      </c>
      <c r="K63">
        <v>0</v>
      </c>
      <c r="L63">
        <v>0</v>
      </c>
      <c r="M63">
        <v>0</v>
      </c>
      <c r="O63" t="s">
        <v>762</v>
      </c>
      <c r="P63" t="s">
        <v>763</v>
      </c>
      <c r="Q63">
        <v>1</v>
      </c>
      <c r="R63">
        <v>3</v>
      </c>
      <c r="S63">
        <v>0</v>
      </c>
      <c r="T63">
        <v>12</v>
      </c>
      <c r="U63" s="3">
        <f>T63/R63</f>
        <v>4</v>
      </c>
      <c r="V63" s="3">
        <v>0</v>
      </c>
      <c r="W63" s="4">
        <v>0</v>
      </c>
      <c r="X63" t="s">
        <v>1490</v>
      </c>
      <c r="AA63" t="s">
        <v>952</v>
      </c>
      <c r="AB63" t="s">
        <v>156</v>
      </c>
      <c r="AC63">
        <v>2</v>
      </c>
      <c r="AD63">
        <v>2</v>
      </c>
      <c r="AE63" s="3">
        <f>AD63/AC64</f>
        <v>0.18181818181818182</v>
      </c>
    </row>
    <row r="64" spans="1:33" x14ac:dyDescent="0.35">
      <c r="A64" s="18" t="s">
        <v>1123</v>
      </c>
      <c r="B64" s="18" t="s">
        <v>603</v>
      </c>
      <c r="C64" s="18">
        <v>3</v>
      </c>
      <c r="D64" s="18">
        <v>2</v>
      </c>
      <c r="E64" s="18">
        <f>D64+F64</f>
        <v>2</v>
      </c>
      <c r="F64" s="18">
        <v>0</v>
      </c>
      <c r="G64" s="18">
        <v>1</v>
      </c>
      <c r="H64" s="18">
        <v>18</v>
      </c>
      <c r="I64" s="18">
        <v>18</v>
      </c>
      <c r="J64" s="19">
        <f>H64/D64</f>
        <v>9</v>
      </c>
      <c r="K64" s="19">
        <f>18/28*100</f>
        <v>64.285714285714292</v>
      </c>
      <c r="L64" s="18">
        <v>0</v>
      </c>
      <c r="M64" s="18">
        <v>0</v>
      </c>
      <c r="O64" t="s">
        <v>764</v>
      </c>
      <c r="P64" t="s">
        <v>521</v>
      </c>
      <c r="Q64">
        <v>2</v>
      </c>
      <c r="R64">
        <v>5</v>
      </c>
      <c r="S64">
        <v>2</v>
      </c>
      <c r="T64">
        <v>31</v>
      </c>
      <c r="U64" s="3">
        <f>T64/R64</f>
        <v>6.2</v>
      </c>
      <c r="V64" s="3">
        <f>T64/S64</f>
        <v>15.5</v>
      </c>
      <c r="W64" s="4">
        <f>R64*6/S64</f>
        <v>15</v>
      </c>
      <c r="X64" t="s">
        <v>1200</v>
      </c>
      <c r="AA64" t="s">
        <v>1481</v>
      </c>
      <c r="AB64" t="s">
        <v>829</v>
      </c>
      <c r="AC64">
        <v>11</v>
      </c>
      <c r="AD64">
        <v>2</v>
      </c>
      <c r="AE64" s="3">
        <f>AD64/AC71</f>
        <v>0.22222222222222221</v>
      </c>
    </row>
    <row r="65" spans="1:33" x14ac:dyDescent="0.35">
      <c r="A65" t="s">
        <v>1111</v>
      </c>
      <c r="B65" t="s">
        <v>1112</v>
      </c>
      <c r="C65">
        <v>1</v>
      </c>
      <c r="D65">
        <v>0</v>
      </c>
      <c r="E65">
        <f>D65+F65</f>
        <v>1</v>
      </c>
      <c r="F65">
        <v>1</v>
      </c>
      <c r="G65">
        <v>0</v>
      </c>
      <c r="H65">
        <v>4</v>
      </c>
      <c r="I65" t="s">
        <v>1269</v>
      </c>
      <c r="J65" s="3" t="e">
        <f>H65/D65</f>
        <v>#DIV/0!</v>
      </c>
      <c r="K65" t="s">
        <v>1454</v>
      </c>
      <c r="L65">
        <v>0</v>
      </c>
      <c r="M65">
        <v>0</v>
      </c>
      <c r="O65" t="s">
        <v>808</v>
      </c>
      <c r="P65" t="s">
        <v>809</v>
      </c>
      <c r="Q65">
        <v>7</v>
      </c>
      <c r="R65">
        <v>16</v>
      </c>
      <c r="S65">
        <v>5</v>
      </c>
      <c r="T65">
        <f>70+34</f>
        <v>104</v>
      </c>
      <c r="U65" s="3">
        <f>T65/R65</f>
        <v>6.5</v>
      </c>
      <c r="V65" s="3">
        <f>T65/S65</f>
        <v>20.8</v>
      </c>
      <c r="W65" s="4">
        <f>R65*6/S65</f>
        <v>19.2</v>
      </c>
      <c r="X65" t="s">
        <v>1519</v>
      </c>
      <c r="AA65" t="s">
        <v>969</v>
      </c>
      <c r="AB65" t="s">
        <v>224</v>
      </c>
      <c r="AC65">
        <v>13</v>
      </c>
      <c r="AD65">
        <v>3</v>
      </c>
      <c r="AE65" s="3">
        <f>AD65/AC65</f>
        <v>0.23076923076923078</v>
      </c>
    </row>
    <row r="66" spans="1:33" x14ac:dyDescent="0.35">
      <c r="A66" t="s">
        <v>589</v>
      </c>
      <c r="B66" t="s">
        <v>20</v>
      </c>
      <c r="C66">
        <v>1</v>
      </c>
      <c r="D66">
        <v>0</v>
      </c>
      <c r="E66">
        <f>D66+F66</f>
        <v>1</v>
      </c>
      <c r="F66">
        <v>1</v>
      </c>
      <c r="G66">
        <v>0</v>
      </c>
      <c r="H66">
        <v>7</v>
      </c>
      <c r="I66" t="s">
        <v>1217</v>
      </c>
      <c r="J66" s="3" t="e">
        <f>H66/D66</f>
        <v>#DIV/0!</v>
      </c>
      <c r="K66" t="s">
        <v>1454</v>
      </c>
      <c r="L66">
        <v>0</v>
      </c>
      <c r="M66">
        <v>0</v>
      </c>
      <c r="O66" t="s">
        <v>849</v>
      </c>
      <c r="P66" t="s">
        <v>1357</v>
      </c>
      <c r="Q66">
        <v>17</v>
      </c>
      <c r="R66">
        <f>35+23</f>
        <v>58</v>
      </c>
      <c r="S66">
        <v>20</v>
      </c>
      <c r="T66">
        <f>253+130</f>
        <v>383</v>
      </c>
      <c r="U66" s="3">
        <f>T66/R66</f>
        <v>6.6034482758620694</v>
      </c>
      <c r="V66" s="3">
        <f>T66/S66</f>
        <v>19.149999999999999</v>
      </c>
      <c r="W66" s="4">
        <f>R66*6/S66</f>
        <v>17.399999999999999</v>
      </c>
      <c r="X66" t="s">
        <v>1518</v>
      </c>
      <c r="AA66" t="s">
        <v>1484</v>
      </c>
      <c r="AB66" t="s">
        <v>1485</v>
      </c>
      <c r="AC66">
        <v>2</v>
      </c>
      <c r="AG66">
        <v>1</v>
      </c>
    </row>
    <row r="67" spans="1:33" x14ac:dyDescent="0.35">
      <c r="A67" t="s">
        <v>1473</v>
      </c>
      <c r="B67" t="s">
        <v>908</v>
      </c>
      <c r="C67">
        <v>4</v>
      </c>
      <c r="D67">
        <v>4</v>
      </c>
      <c r="E67">
        <f>D67+F67</f>
        <v>4</v>
      </c>
      <c r="F67">
        <v>0</v>
      </c>
      <c r="G67">
        <v>0</v>
      </c>
      <c r="H67">
        <v>126</v>
      </c>
      <c r="I67">
        <v>57</v>
      </c>
      <c r="J67" s="3">
        <f>H67/D67</f>
        <v>31.5</v>
      </c>
      <c r="K67" t="s">
        <v>1454</v>
      </c>
      <c r="L67">
        <v>1</v>
      </c>
      <c r="M67">
        <v>0</v>
      </c>
      <c r="O67" t="s">
        <v>1103</v>
      </c>
      <c r="P67" t="s">
        <v>349</v>
      </c>
      <c r="Q67">
        <v>1</v>
      </c>
      <c r="R67">
        <v>1</v>
      </c>
      <c r="S67">
        <v>0</v>
      </c>
      <c r="T67">
        <v>10</v>
      </c>
      <c r="U67" s="3">
        <f>T67/R67</f>
        <v>10</v>
      </c>
      <c r="V67" s="3" t="e">
        <f>T67/S67</f>
        <v>#DIV/0!</v>
      </c>
      <c r="W67" s="4" t="e">
        <f>R67*6/S67</f>
        <v>#DIV/0!</v>
      </c>
      <c r="X67" t="s">
        <v>1180</v>
      </c>
      <c r="AA67" s="18" t="s">
        <v>996</v>
      </c>
      <c r="AB67" s="18" t="s">
        <v>561</v>
      </c>
      <c r="AC67" s="18">
        <v>18</v>
      </c>
      <c r="AD67" s="18">
        <v>9</v>
      </c>
      <c r="AE67" s="19">
        <f>AD67/AC67</f>
        <v>0.5</v>
      </c>
      <c r="AF67" s="18">
        <v>6</v>
      </c>
      <c r="AG67" s="18">
        <v>3</v>
      </c>
    </row>
    <row r="68" spans="1:33" x14ac:dyDescent="0.35">
      <c r="A68" t="s">
        <v>1474</v>
      </c>
      <c r="B68" t="s">
        <v>591</v>
      </c>
      <c r="C68">
        <v>3</v>
      </c>
      <c r="D68">
        <v>0</v>
      </c>
      <c r="E68">
        <f>D68+F68</f>
        <v>1</v>
      </c>
      <c r="F68">
        <v>1</v>
      </c>
      <c r="G68">
        <v>2</v>
      </c>
      <c r="H68">
        <v>1</v>
      </c>
      <c r="I68" t="s">
        <v>1273</v>
      </c>
      <c r="J68" s="3" t="e">
        <f>H68/D68</f>
        <v>#DIV/0!</v>
      </c>
      <c r="K68" t="s">
        <v>1454</v>
      </c>
      <c r="L68">
        <v>0</v>
      </c>
      <c r="M68">
        <v>0</v>
      </c>
      <c r="O68" t="s">
        <v>858</v>
      </c>
      <c r="P68" t="s">
        <v>859</v>
      </c>
      <c r="Q68">
        <v>1</v>
      </c>
      <c r="R68">
        <v>2</v>
      </c>
      <c r="S68">
        <v>0</v>
      </c>
      <c r="T68">
        <v>15</v>
      </c>
      <c r="U68" s="3">
        <f>T68/R68</f>
        <v>7.5</v>
      </c>
      <c r="V68" s="3" t="e">
        <f>T68/S68</f>
        <v>#DIV/0!</v>
      </c>
      <c r="W68" s="4" t="e">
        <f>R68*6/S68</f>
        <v>#DIV/0!</v>
      </c>
      <c r="X68" t="s">
        <v>1497</v>
      </c>
      <c r="AA68" s="18" t="s">
        <v>1301</v>
      </c>
      <c r="AB68" s="18" t="s">
        <v>1290</v>
      </c>
      <c r="AC68" s="18">
        <v>14</v>
      </c>
      <c r="AD68" s="18">
        <v>6</v>
      </c>
      <c r="AE68" s="19">
        <f>AD68/AC68</f>
        <v>0.42857142857142855</v>
      </c>
      <c r="AF68" s="18">
        <v>1</v>
      </c>
      <c r="AG68" s="18"/>
    </row>
    <row r="69" spans="1:33" x14ac:dyDescent="0.35">
      <c r="A69" t="s">
        <v>598</v>
      </c>
      <c r="B69" t="s">
        <v>183</v>
      </c>
      <c r="C69">
        <v>2</v>
      </c>
      <c r="D69">
        <v>1</v>
      </c>
      <c r="E69">
        <f>D69+F69</f>
        <v>1</v>
      </c>
      <c r="F69">
        <v>0</v>
      </c>
      <c r="G69">
        <v>1</v>
      </c>
      <c r="H69">
        <v>1</v>
      </c>
      <c r="I69">
        <v>1</v>
      </c>
      <c r="J69" s="3">
        <f>H69/D69</f>
        <v>1</v>
      </c>
      <c r="K69" t="s">
        <v>1454</v>
      </c>
      <c r="L69">
        <v>0</v>
      </c>
      <c r="M69">
        <v>0</v>
      </c>
      <c r="O69" t="s">
        <v>1107</v>
      </c>
      <c r="P69" t="s">
        <v>1480</v>
      </c>
      <c r="Q69">
        <v>8</v>
      </c>
      <c r="R69">
        <v>6</v>
      </c>
      <c r="S69">
        <v>3</v>
      </c>
      <c r="T69">
        <v>33</v>
      </c>
      <c r="U69" s="3">
        <f>T69/R69</f>
        <v>5.5</v>
      </c>
      <c r="V69" s="3">
        <f>T69/S69</f>
        <v>11</v>
      </c>
      <c r="W69" s="4">
        <f>R69*6/S69</f>
        <v>12</v>
      </c>
      <c r="X69" t="s">
        <v>1210</v>
      </c>
      <c r="AA69" t="s">
        <v>1047</v>
      </c>
      <c r="AB69" t="s">
        <v>1105</v>
      </c>
      <c r="AC69">
        <v>1</v>
      </c>
      <c r="AD69">
        <v>2</v>
      </c>
      <c r="AE69" s="3">
        <f>AD69/AC69</f>
        <v>2</v>
      </c>
    </row>
    <row r="70" spans="1:33" x14ac:dyDescent="0.35">
      <c r="A70" s="33" t="s">
        <v>607</v>
      </c>
      <c r="B70" s="18" t="s">
        <v>353</v>
      </c>
      <c r="C70" s="18">
        <v>3</v>
      </c>
      <c r="D70" s="18">
        <v>1</v>
      </c>
      <c r="E70" s="18">
        <f>D70+F70</f>
        <v>1</v>
      </c>
      <c r="F70" s="18">
        <v>0</v>
      </c>
      <c r="G70" s="18">
        <v>2</v>
      </c>
      <c r="H70" s="18">
        <v>7</v>
      </c>
      <c r="I70" s="18">
        <v>7</v>
      </c>
      <c r="J70" s="19">
        <f>H70/D70</f>
        <v>7</v>
      </c>
      <c r="K70" s="18" t="s">
        <v>1454</v>
      </c>
      <c r="L70" s="18">
        <v>0</v>
      </c>
      <c r="M70" s="18">
        <v>0</v>
      </c>
      <c r="O70" t="s">
        <v>906</v>
      </c>
      <c r="P70" t="s">
        <v>907</v>
      </c>
      <c r="Q70">
        <v>3</v>
      </c>
      <c r="R70">
        <v>9</v>
      </c>
      <c r="S70">
        <v>3</v>
      </c>
      <c r="T70">
        <v>52</v>
      </c>
      <c r="U70" s="3">
        <f>T70/R70</f>
        <v>5.7777777777777777</v>
      </c>
      <c r="V70" s="3">
        <f>T70/S70</f>
        <v>17.333333333333332</v>
      </c>
      <c r="W70" s="4">
        <f>R70*6/S70</f>
        <v>18</v>
      </c>
      <c r="X70" t="s">
        <v>1520</v>
      </c>
      <c r="AA70" s="18" t="s">
        <v>1360</v>
      </c>
      <c r="AB70" s="18" t="s">
        <v>224</v>
      </c>
      <c r="AC70" s="18">
        <v>13</v>
      </c>
      <c r="AD70" s="18">
        <v>1</v>
      </c>
      <c r="AE70" s="19">
        <f>AD70/AC70</f>
        <v>7.6923076923076927E-2</v>
      </c>
      <c r="AF70" s="18"/>
      <c r="AG70" s="18"/>
    </row>
    <row r="71" spans="1:33" x14ac:dyDescent="0.35">
      <c r="A71" t="s">
        <v>1475</v>
      </c>
      <c r="B71" t="s">
        <v>689</v>
      </c>
      <c r="C71">
        <v>2</v>
      </c>
      <c r="D71">
        <v>2</v>
      </c>
      <c r="E71">
        <f>D71+F71</f>
        <v>2</v>
      </c>
      <c r="F71">
        <v>0</v>
      </c>
      <c r="G71">
        <v>0</v>
      </c>
      <c r="H71">
        <v>26</v>
      </c>
      <c r="I71">
        <v>20</v>
      </c>
      <c r="J71" s="3">
        <f>H71/D71</f>
        <v>13</v>
      </c>
      <c r="K71" t="s">
        <v>1454</v>
      </c>
      <c r="L71">
        <v>0</v>
      </c>
      <c r="M71">
        <v>0</v>
      </c>
      <c r="O71" t="s">
        <v>1365</v>
      </c>
      <c r="P71" t="s">
        <v>1366</v>
      </c>
      <c r="Q71">
        <v>2</v>
      </c>
      <c r="R71">
        <v>8</v>
      </c>
      <c r="S71">
        <v>2</v>
      </c>
      <c r="T71">
        <v>27</v>
      </c>
      <c r="U71" s="3">
        <f>T71/R71</f>
        <v>3.375</v>
      </c>
      <c r="V71" s="3">
        <f>T71/S71</f>
        <v>13.5</v>
      </c>
      <c r="W71" s="4">
        <f>R71*6/S71</f>
        <v>24</v>
      </c>
      <c r="X71" t="s">
        <v>1134</v>
      </c>
      <c r="AA71" s="18" t="s">
        <v>1521</v>
      </c>
      <c r="AB71" s="18" t="s">
        <v>176</v>
      </c>
      <c r="AC71" s="18">
        <v>9</v>
      </c>
      <c r="AD71" s="18">
        <v>2</v>
      </c>
      <c r="AE71" s="19">
        <f>AD71/AC71</f>
        <v>0.22222222222222221</v>
      </c>
      <c r="AF71" s="18"/>
      <c r="AG71" s="18"/>
    </row>
    <row r="72" spans="1:33" x14ac:dyDescent="0.35">
      <c r="A72" t="s">
        <v>1401</v>
      </c>
      <c r="B72" t="s">
        <v>190</v>
      </c>
      <c r="C72">
        <v>1</v>
      </c>
      <c r="D72">
        <v>1</v>
      </c>
      <c r="E72">
        <f>D72+F72</f>
        <v>1</v>
      </c>
      <c r="F72">
        <v>0</v>
      </c>
      <c r="G72">
        <v>0</v>
      </c>
      <c r="H72">
        <v>5</v>
      </c>
      <c r="I72">
        <v>5</v>
      </c>
      <c r="J72" s="3">
        <f>H72/D72</f>
        <v>5</v>
      </c>
      <c r="K72" s="3">
        <f>5/8*100</f>
        <v>62.5</v>
      </c>
      <c r="L72">
        <v>0</v>
      </c>
      <c r="M72">
        <v>0</v>
      </c>
      <c r="O72" t="s">
        <v>930</v>
      </c>
      <c r="P72" t="s">
        <v>384</v>
      </c>
      <c r="Q72">
        <v>3</v>
      </c>
      <c r="R72">
        <v>11</v>
      </c>
      <c r="S72">
        <v>4</v>
      </c>
      <c r="T72">
        <f>39+12</f>
        <v>51</v>
      </c>
      <c r="U72" s="3">
        <f>T72/R72</f>
        <v>4.6363636363636367</v>
      </c>
      <c r="V72" s="3">
        <f>T72/S72</f>
        <v>12.75</v>
      </c>
      <c r="W72" s="4">
        <f>R72*6/S72</f>
        <v>16.5</v>
      </c>
      <c r="X72" t="s">
        <v>1348</v>
      </c>
    </row>
    <row r="73" spans="1:33" x14ac:dyDescent="0.35">
      <c r="A73" t="s">
        <v>1476</v>
      </c>
      <c r="B73" t="s">
        <v>422</v>
      </c>
      <c r="C73">
        <v>2</v>
      </c>
      <c r="D73">
        <v>1</v>
      </c>
      <c r="E73">
        <f>D73+F73</f>
        <v>1</v>
      </c>
      <c r="F73">
        <v>0</v>
      </c>
      <c r="G73">
        <v>1</v>
      </c>
      <c r="H73">
        <v>0</v>
      </c>
      <c r="I73">
        <v>0</v>
      </c>
      <c r="J73" s="3">
        <f>H73/D73</f>
        <v>0</v>
      </c>
      <c r="K73" t="s">
        <v>1454</v>
      </c>
      <c r="L73">
        <v>0</v>
      </c>
      <c r="M73">
        <v>0</v>
      </c>
      <c r="O73" t="s">
        <v>940</v>
      </c>
      <c r="P73" t="s">
        <v>941</v>
      </c>
      <c r="Q73">
        <v>3</v>
      </c>
      <c r="R73">
        <v>10.1</v>
      </c>
      <c r="S73">
        <v>5</v>
      </c>
      <c r="T73">
        <v>49</v>
      </c>
      <c r="U73" s="3">
        <f>T73/R73</f>
        <v>4.8514851485148514</v>
      </c>
      <c r="V73" s="3">
        <f>T73/S73</f>
        <v>9.8000000000000007</v>
      </c>
      <c r="W73" s="4">
        <f>R73*6/S73</f>
        <v>12.12</v>
      </c>
      <c r="X73" t="s">
        <v>1522</v>
      </c>
    </row>
    <row r="74" spans="1:33" x14ac:dyDescent="0.35">
      <c r="A74" t="s">
        <v>635</v>
      </c>
      <c r="B74" t="s">
        <v>42</v>
      </c>
      <c r="C74">
        <v>1</v>
      </c>
      <c r="D74">
        <v>1</v>
      </c>
      <c r="E74">
        <f>D74+F74</f>
        <v>1</v>
      </c>
      <c r="F74">
        <v>0</v>
      </c>
      <c r="G74">
        <v>0</v>
      </c>
      <c r="H74">
        <v>14</v>
      </c>
      <c r="I74">
        <v>14</v>
      </c>
      <c r="J74" s="3">
        <f>H74/D74</f>
        <v>14</v>
      </c>
      <c r="K74" t="s">
        <v>1454</v>
      </c>
      <c r="L74">
        <v>0</v>
      </c>
      <c r="M74">
        <v>0</v>
      </c>
      <c r="O74" t="s">
        <v>948</v>
      </c>
      <c r="P74" t="s">
        <v>949</v>
      </c>
      <c r="Q74">
        <v>1</v>
      </c>
      <c r="R74">
        <v>2</v>
      </c>
      <c r="S74">
        <v>0</v>
      </c>
      <c r="T74">
        <v>34</v>
      </c>
      <c r="U74" s="3">
        <f>T74/R74</f>
        <v>17</v>
      </c>
      <c r="V74" s="3" t="e">
        <f>T74/S74</f>
        <v>#DIV/0!</v>
      </c>
      <c r="W74" s="4" t="e">
        <f>R74*6/S74</f>
        <v>#DIV/0!</v>
      </c>
      <c r="X74" t="s">
        <v>1523</v>
      </c>
    </row>
    <row r="75" spans="1:33" x14ac:dyDescent="0.35">
      <c r="A75" s="32" t="s">
        <v>469</v>
      </c>
      <c r="B75" t="s">
        <v>146</v>
      </c>
      <c r="C75">
        <v>15</v>
      </c>
      <c r="D75">
        <v>10</v>
      </c>
      <c r="E75">
        <f>D75+F75</f>
        <v>13</v>
      </c>
      <c r="F75">
        <v>3</v>
      </c>
      <c r="G75">
        <v>2</v>
      </c>
      <c r="H75">
        <v>77</v>
      </c>
      <c r="I75" t="s">
        <v>1477</v>
      </c>
      <c r="J75" s="3">
        <f>H75/D75</f>
        <v>7.7</v>
      </c>
      <c r="K75" t="s">
        <v>1454</v>
      </c>
      <c r="L75">
        <v>0</v>
      </c>
      <c r="M75">
        <v>0</v>
      </c>
      <c r="O75" t="s">
        <v>955</v>
      </c>
      <c r="P75" t="s">
        <v>206</v>
      </c>
      <c r="Q75">
        <v>1</v>
      </c>
      <c r="R75">
        <v>1</v>
      </c>
      <c r="S75">
        <v>0</v>
      </c>
      <c r="T75">
        <v>14</v>
      </c>
      <c r="U75" s="3">
        <f>T75/R75</f>
        <v>14</v>
      </c>
      <c r="V75" s="3" t="e">
        <f>T75/S75</f>
        <v>#DIV/0!</v>
      </c>
      <c r="W75" s="4" t="e">
        <f>R75*6/S75</f>
        <v>#DIV/0!</v>
      </c>
      <c r="X75" t="s">
        <v>1152</v>
      </c>
    </row>
    <row r="76" spans="1:33" x14ac:dyDescent="0.35">
      <c r="A76" t="s">
        <v>672</v>
      </c>
      <c r="B76" t="s">
        <v>1478</v>
      </c>
      <c r="C76">
        <v>3</v>
      </c>
      <c r="D76">
        <v>3</v>
      </c>
      <c r="E76">
        <f>D76+F76</f>
        <v>3</v>
      </c>
      <c r="F76">
        <v>0</v>
      </c>
      <c r="G76">
        <v>0</v>
      </c>
      <c r="H76">
        <v>69</v>
      </c>
      <c r="I76">
        <v>50</v>
      </c>
      <c r="J76" s="3">
        <f>H76/D76</f>
        <v>23</v>
      </c>
      <c r="K76" t="s">
        <v>1454</v>
      </c>
      <c r="L76">
        <v>1</v>
      </c>
      <c r="M76">
        <v>0</v>
      </c>
      <c r="O76" t="s">
        <v>1481</v>
      </c>
      <c r="P76" t="s">
        <v>829</v>
      </c>
      <c r="Q76">
        <v>11</v>
      </c>
      <c r="R76">
        <v>24</v>
      </c>
      <c r="S76">
        <v>3</v>
      </c>
      <c r="T76">
        <f>114+65</f>
        <v>179</v>
      </c>
      <c r="U76" s="3">
        <f>T76/R76</f>
        <v>7.458333333333333</v>
      </c>
      <c r="V76" s="3">
        <f>T76/S76</f>
        <v>59.666666666666664</v>
      </c>
      <c r="W76" s="4">
        <f>R76*6/S76</f>
        <v>48</v>
      </c>
      <c r="X76" t="s">
        <v>1524</v>
      </c>
    </row>
    <row r="77" spans="1:33" x14ac:dyDescent="0.35">
      <c r="A77" s="18" t="s">
        <v>1195</v>
      </c>
      <c r="B77" s="18" t="s">
        <v>110</v>
      </c>
      <c r="C77" s="18">
        <v>17</v>
      </c>
      <c r="D77" s="18">
        <v>9</v>
      </c>
      <c r="E77" s="18">
        <f>D77+F77</f>
        <v>11</v>
      </c>
      <c r="F77" s="18">
        <v>2</v>
      </c>
      <c r="G77" s="18">
        <v>6</v>
      </c>
      <c r="H77" s="18">
        <f>95+87</f>
        <v>182</v>
      </c>
      <c r="I77" s="18" t="s">
        <v>1479</v>
      </c>
      <c r="J77" s="19">
        <f>H77/D77</f>
        <v>20.222222222222221</v>
      </c>
      <c r="K77" s="19">
        <f>182/153*100</f>
        <v>118.95424836601308</v>
      </c>
      <c r="L77" s="18">
        <v>0</v>
      </c>
      <c r="M77" s="18">
        <v>0</v>
      </c>
      <c r="O77" s="18" t="s">
        <v>1338</v>
      </c>
      <c r="P77" s="18" t="s">
        <v>1339</v>
      </c>
      <c r="Q77" s="18">
        <v>3</v>
      </c>
      <c r="R77" s="18">
        <v>9</v>
      </c>
      <c r="S77" s="18">
        <v>2</v>
      </c>
      <c r="T77" s="18">
        <v>73</v>
      </c>
      <c r="U77" s="19">
        <f>T77/R77</f>
        <v>8.1111111111111107</v>
      </c>
      <c r="V77" s="19">
        <f>T77/S77</f>
        <v>36.5</v>
      </c>
      <c r="W77" s="20">
        <f>R77*6/S77</f>
        <v>27</v>
      </c>
      <c r="X77" s="18" t="s">
        <v>1525</v>
      </c>
    </row>
    <row r="78" spans="1:33" x14ac:dyDescent="0.35">
      <c r="A78" t="s">
        <v>260</v>
      </c>
      <c r="B78" t="s">
        <v>452</v>
      </c>
      <c r="C78">
        <v>17</v>
      </c>
      <c r="D78">
        <v>16</v>
      </c>
      <c r="E78">
        <f>D78+F78</f>
        <v>17</v>
      </c>
      <c r="F78">
        <v>1</v>
      </c>
      <c r="G78">
        <v>0</v>
      </c>
      <c r="H78">
        <f>348+47</f>
        <v>395</v>
      </c>
      <c r="I78" t="s">
        <v>1355</v>
      </c>
      <c r="J78" s="3">
        <f>H78/D78</f>
        <v>24.6875</v>
      </c>
      <c r="K78" t="s">
        <v>1454</v>
      </c>
      <c r="L78">
        <v>2</v>
      </c>
      <c r="M78">
        <v>0</v>
      </c>
      <c r="O78" t="s">
        <v>982</v>
      </c>
      <c r="P78" t="s">
        <v>983</v>
      </c>
      <c r="Q78">
        <v>2</v>
      </c>
      <c r="R78">
        <v>1</v>
      </c>
      <c r="S78">
        <v>0</v>
      </c>
      <c r="T78">
        <v>12</v>
      </c>
      <c r="U78" s="3">
        <f>T78/R78</f>
        <v>12</v>
      </c>
      <c r="V78" s="3" t="e">
        <f>T78/S78</f>
        <v>#DIV/0!</v>
      </c>
      <c r="W78" s="4" t="e">
        <f>R78*6/S78</f>
        <v>#DIV/0!</v>
      </c>
      <c r="X78" t="s">
        <v>1490</v>
      </c>
    </row>
    <row r="79" spans="1:33" x14ac:dyDescent="0.35">
      <c r="A79" t="s">
        <v>695</v>
      </c>
      <c r="B79" t="s">
        <v>696</v>
      </c>
      <c r="C79">
        <v>1</v>
      </c>
      <c r="D79">
        <v>1</v>
      </c>
      <c r="E79">
        <f>D79+F79</f>
        <v>1</v>
      </c>
      <c r="F79">
        <v>0</v>
      </c>
      <c r="G79">
        <v>0</v>
      </c>
      <c r="H79">
        <v>2</v>
      </c>
      <c r="I79">
        <v>2</v>
      </c>
      <c r="J79" s="3">
        <f>H79/D79</f>
        <v>2</v>
      </c>
      <c r="K79" t="s">
        <v>1454</v>
      </c>
      <c r="L79">
        <v>0</v>
      </c>
      <c r="M79">
        <v>0</v>
      </c>
      <c r="O79" t="s">
        <v>1484</v>
      </c>
      <c r="P79" t="s">
        <v>1485</v>
      </c>
      <c r="Q79">
        <v>2</v>
      </c>
      <c r="R79">
        <v>4</v>
      </c>
      <c r="S79">
        <v>3</v>
      </c>
      <c r="T79">
        <v>10</v>
      </c>
      <c r="U79" s="3">
        <f>T79/R79</f>
        <v>2.5</v>
      </c>
      <c r="V79" s="3">
        <f>T79/S79</f>
        <v>3.3333333333333335</v>
      </c>
      <c r="W79" s="4">
        <f>R79*6/S79</f>
        <v>8</v>
      </c>
      <c r="X79" t="s">
        <v>1526</v>
      </c>
    </row>
    <row r="80" spans="1:33" x14ac:dyDescent="0.35">
      <c r="A80" s="18" t="s">
        <v>697</v>
      </c>
      <c r="B80" s="18" t="s">
        <v>473</v>
      </c>
      <c r="C80" s="18">
        <v>2</v>
      </c>
      <c r="D80" s="18">
        <v>0</v>
      </c>
      <c r="E80" s="18">
        <f>D80+F80</f>
        <v>2</v>
      </c>
      <c r="F80" s="18">
        <v>2</v>
      </c>
      <c r="G80" s="18">
        <v>0</v>
      </c>
      <c r="H80" s="18">
        <v>5</v>
      </c>
      <c r="I80" s="18" t="s">
        <v>1213</v>
      </c>
      <c r="J80" s="18" t="e">
        <f>H80/D80</f>
        <v>#DIV/0!</v>
      </c>
      <c r="K80" s="19">
        <f>5/10*100</f>
        <v>50</v>
      </c>
      <c r="L80" s="18">
        <v>0</v>
      </c>
      <c r="M80" s="18">
        <v>0</v>
      </c>
      <c r="O80" s="18" t="s">
        <v>1301</v>
      </c>
      <c r="P80" s="18" t="s">
        <v>1290</v>
      </c>
      <c r="Q80" s="18">
        <v>14</v>
      </c>
      <c r="R80" s="18">
        <v>11</v>
      </c>
      <c r="S80" s="18">
        <v>4</v>
      </c>
      <c r="T80" s="18">
        <f>49+34</f>
        <v>83</v>
      </c>
      <c r="U80" s="19">
        <f>T80/R80</f>
        <v>7.5454545454545459</v>
      </c>
      <c r="V80" s="19">
        <f>T80/S80</f>
        <v>20.75</v>
      </c>
      <c r="W80" s="20">
        <f>R80*6/S80</f>
        <v>16.5</v>
      </c>
      <c r="X80" s="18" t="s">
        <v>1341</v>
      </c>
    </row>
    <row r="81" spans="1:24" x14ac:dyDescent="0.35">
      <c r="A81" t="s">
        <v>707</v>
      </c>
      <c r="B81" t="s">
        <v>176</v>
      </c>
      <c r="C81">
        <v>1</v>
      </c>
      <c r="D81">
        <v>0</v>
      </c>
      <c r="E81">
        <f>D81+F81</f>
        <v>1</v>
      </c>
      <c r="F81">
        <v>1</v>
      </c>
      <c r="G81">
        <v>0</v>
      </c>
      <c r="H81">
        <v>7</v>
      </c>
      <c r="I81" t="s">
        <v>1217</v>
      </c>
      <c r="J81" s="3" t="e">
        <f>H81/D81</f>
        <v>#DIV/0!</v>
      </c>
      <c r="K81" t="s">
        <v>1454</v>
      </c>
      <c r="L81">
        <v>0</v>
      </c>
      <c r="M81">
        <v>0</v>
      </c>
      <c r="O81" s="18" t="s">
        <v>1011</v>
      </c>
      <c r="P81" s="18" t="s">
        <v>726</v>
      </c>
      <c r="Q81" s="18">
        <v>6</v>
      </c>
      <c r="R81" s="18">
        <v>7.1</v>
      </c>
      <c r="S81" s="18">
        <v>6</v>
      </c>
      <c r="T81" s="18">
        <v>53</v>
      </c>
      <c r="U81" s="19">
        <f>T81/R81</f>
        <v>7.4647887323943669</v>
      </c>
      <c r="V81" s="19">
        <f>T81/S81</f>
        <v>8.8333333333333339</v>
      </c>
      <c r="W81" s="20">
        <f>R81*6/S81</f>
        <v>7.0999999999999988</v>
      </c>
      <c r="X81" s="18" t="s">
        <v>1527</v>
      </c>
    </row>
    <row r="82" spans="1:24" x14ac:dyDescent="0.35">
      <c r="A82" t="s">
        <v>722</v>
      </c>
      <c r="B82" t="s">
        <v>769</v>
      </c>
      <c r="C82">
        <v>6</v>
      </c>
      <c r="D82">
        <v>2</v>
      </c>
      <c r="E82">
        <f>D82+F82</f>
        <v>2</v>
      </c>
      <c r="F82">
        <v>0</v>
      </c>
      <c r="G82">
        <v>4</v>
      </c>
      <c r="H82">
        <v>10</v>
      </c>
      <c r="I82">
        <v>10</v>
      </c>
      <c r="J82" s="3">
        <f>H82/D82</f>
        <v>5</v>
      </c>
      <c r="K82" t="s">
        <v>1454</v>
      </c>
      <c r="L82">
        <v>0</v>
      </c>
      <c r="M82">
        <v>0</v>
      </c>
      <c r="O82" t="s">
        <v>1486</v>
      </c>
      <c r="P82" t="s">
        <v>175</v>
      </c>
      <c r="Q82">
        <v>1</v>
      </c>
      <c r="R82">
        <v>4</v>
      </c>
      <c r="S82">
        <v>1</v>
      </c>
      <c r="T82">
        <v>18</v>
      </c>
      <c r="U82" s="3">
        <f>T82/R82</f>
        <v>4.5</v>
      </c>
      <c r="V82" s="3">
        <f>T82/S82</f>
        <v>18</v>
      </c>
      <c r="W82" s="4">
        <f>R82*6/S82</f>
        <v>24</v>
      </c>
      <c r="X82" t="s">
        <v>1528</v>
      </c>
    </row>
    <row r="83" spans="1:24" x14ac:dyDescent="0.35">
      <c r="A83" s="18" t="s">
        <v>736</v>
      </c>
      <c r="B83" s="18" t="s">
        <v>737</v>
      </c>
      <c r="C83" s="18">
        <v>3</v>
      </c>
      <c r="D83" s="18">
        <v>0</v>
      </c>
      <c r="E83" s="18">
        <f>D83+F83</f>
        <v>0</v>
      </c>
      <c r="F83" s="18">
        <v>0</v>
      </c>
      <c r="G83" s="18">
        <v>3</v>
      </c>
      <c r="H83" s="18">
        <v>0</v>
      </c>
      <c r="I83" s="18">
        <v>0</v>
      </c>
      <c r="J83" s="19" t="e">
        <f>H83/D83</f>
        <v>#DIV/0!</v>
      </c>
      <c r="K83" s="18" t="s">
        <v>1454</v>
      </c>
      <c r="L83" s="18">
        <v>0</v>
      </c>
      <c r="M83" s="18">
        <v>0</v>
      </c>
      <c r="O83" t="s">
        <v>1023</v>
      </c>
      <c r="P83" t="s">
        <v>172</v>
      </c>
      <c r="Q83">
        <v>2</v>
      </c>
      <c r="R83">
        <v>1</v>
      </c>
      <c r="S83">
        <v>0</v>
      </c>
      <c r="T83">
        <v>1</v>
      </c>
      <c r="U83" s="3">
        <f>T83/R83</f>
        <v>1</v>
      </c>
      <c r="V83">
        <f>S83/R83</f>
        <v>0</v>
      </c>
      <c r="W83" s="4" t="e">
        <f>R83*6/S83</f>
        <v>#DIV/0!</v>
      </c>
      <c r="X83" t="s">
        <v>1529</v>
      </c>
    </row>
    <row r="84" spans="1:24" x14ac:dyDescent="0.35">
      <c r="A84" t="s">
        <v>736</v>
      </c>
      <c r="B84" t="s">
        <v>77</v>
      </c>
      <c r="C84">
        <v>1</v>
      </c>
      <c r="D84">
        <v>0</v>
      </c>
      <c r="E84">
        <f>D84+F84</f>
        <v>0</v>
      </c>
      <c r="F84">
        <v>0</v>
      </c>
      <c r="G84">
        <v>1</v>
      </c>
      <c r="H84">
        <v>0</v>
      </c>
      <c r="I84">
        <v>0</v>
      </c>
      <c r="J84" s="3" t="e">
        <f>H84/D84</f>
        <v>#DIV/0!</v>
      </c>
      <c r="K84" t="s">
        <v>1454</v>
      </c>
      <c r="L84">
        <v>0</v>
      </c>
      <c r="M84">
        <v>0</v>
      </c>
      <c r="O84" t="s">
        <v>1295</v>
      </c>
      <c r="P84" t="s">
        <v>111</v>
      </c>
      <c r="Q84">
        <v>5</v>
      </c>
      <c r="R84">
        <v>7</v>
      </c>
      <c r="S84">
        <v>2</v>
      </c>
      <c r="T84">
        <v>18</v>
      </c>
      <c r="U84" s="3">
        <f>T84/R84</f>
        <v>2.5714285714285716</v>
      </c>
      <c r="V84" s="3">
        <f>S84/R84</f>
        <v>0.2857142857142857</v>
      </c>
      <c r="W84" s="4">
        <f>R84*6/S84</f>
        <v>21</v>
      </c>
      <c r="X84" t="s">
        <v>1329</v>
      </c>
    </row>
    <row r="85" spans="1:24" x14ac:dyDescent="0.35">
      <c r="A85" t="s">
        <v>751</v>
      </c>
      <c r="B85" t="s">
        <v>752</v>
      </c>
      <c r="C85">
        <v>2</v>
      </c>
      <c r="D85">
        <v>1</v>
      </c>
      <c r="E85">
        <f>D85+F85</f>
        <v>1</v>
      </c>
      <c r="F85">
        <v>0</v>
      </c>
      <c r="G85">
        <v>1</v>
      </c>
      <c r="H85">
        <v>7</v>
      </c>
      <c r="I85">
        <v>7</v>
      </c>
      <c r="J85">
        <f>H85/D85</f>
        <v>7</v>
      </c>
      <c r="K85" t="s">
        <v>1454</v>
      </c>
      <c r="L85">
        <v>0</v>
      </c>
      <c r="M85">
        <v>0</v>
      </c>
      <c r="O85" s="18" t="s">
        <v>1360</v>
      </c>
      <c r="P85" s="18" t="s">
        <v>224</v>
      </c>
      <c r="Q85" s="18">
        <v>13</v>
      </c>
      <c r="R85" s="18">
        <f>28+18</f>
        <v>46</v>
      </c>
      <c r="S85" s="18">
        <v>18</v>
      </c>
      <c r="T85" s="18">
        <f>226+107</f>
        <v>333</v>
      </c>
      <c r="U85" s="19">
        <f>T85/R85</f>
        <v>7.2391304347826084</v>
      </c>
      <c r="V85" s="19">
        <f>T85/S85</f>
        <v>18.5</v>
      </c>
      <c r="W85" s="20">
        <f>R85*6/S85</f>
        <v>15.333333333333334</v>
      </c>
      <c r="X85" s="18" t="s">
        <v>1316</v>
      </c>
    </row>
    <row r="86" spans="1:24" x14ac:dyDescent="0.35">
      <c r="A86" s="18" t="s">
        <v>755</v>
      </c>
      <c r="B86" s="18" t="s">
        <v>756</v>
      </c>
      <c r="C86" s="18">
        <v>2</v>
      </c>
      <c r="D86" s="18">
        <v>1</v>
      </c>
      <c r="E86" s="18">
        <f>D86+F86</f>
        <v>1</v>
      </c>
      <c r="F86" s="18">
        <v>0</v>
      </c>
      <c r="G86" s="18">
        <v>1</v>
      </c>
      <c r="H86" s="18">
        <v>14</v>
      </c>
      <c r="I86" s="18">
        <v>14</v>
      </c>
      <c r="J86" s="19">
        <f>H86/D86</f>
        <v>14</v>
      </c>
      <c r="K86" s="19">
        <f>14/19*100</f>
        <v>73.68421052631578</v>
      </c>
      <c r="L86" s="18">
        <v>0</v>
      </c>
      <c r="M86" s="18">
        <v>0</v>
      </c>
      <c r="O86" t="s">
        <v>1078</v>
      </c>
      <c r="P86" t="s">
        <v>452</v>
      </c>
      <c r="Q86">
        <v>1</v>
      </c>
      <c r="R86">
        <v>3</v>
      </c>
      <c r="S86">
        <v>3</v>
      </c>
      <c r="T86">
        <v>15</v>
      </c>
      <c r="U86" s="3">
        <f>T86/R86</f>
        <v>5</v>
      </c>
      <c r="V86" s="3">
        <f>T86/S86</f>
        <v>5</v>
      </c>
      <c r="W86" s="4">
        <f>24/2</f>
        <v>12</v>
      </c>
      <c r="X86" t="s">
        <v>1210</v>
      </c>
    </row>
    <row r="87" spans="1:24" x14ac:dyDescent="0.35">
      <c r="A87" t="s">
        <v>758</v>
      </c>
      <c r="B87" t="s">
        <v>760</v>
      </c>
      <c r="C87">
        <v>2</v>
      </c>
      <c r="D87">
        <v>1</v>
      </c>
      <c r="E87">
        <f>D87+F87</f>
        <v>1</v>
      </c>
      <c r="F87">
        <v>0</v>
      </c>
      <c r="G87">
        <v>1</v>
      </c>
      <c r="H87">
        <v>18</v>
      </c>
      <c r="I87">
        <v>18</v>
      </c>
      <c r="J87" s="3">
        <f>H87/D87</f>
        <v>18</v>
      </c>
      <c r="K87" t="s">
        <v>1454</v>
      </c>
      <c r="L87">
        <v>0</v>
      </c>
      <c r="M87">
        <v>0</v>
      </c>
      <c r="O87" s="18" t="s">
        <v>1084</v>
      </c>
      <c r="P87" s="18" t="s">
        <v>176</v>
      </c>
      <c r="Q87" s="18">
        <v>9</v>
      </c>
      <c r="R87" s="18">
        <v>23</v>
      </c>
      <c r="S87" s="18">
        <v>7</v>
      </c>
      <c r="T87" s="18">
        <v>118</v>
      </c>
      <c r="U87" s="19">
        <f>T87/R87</f>
        <v>5.1304347826086953</v>
      </c>
      <c r="V87" s="19">
        <f>T87/S87</f>
        <v>16.857142857142858</v>
      </c>
      <c r="W87" s="20">
        <f>R87*6/S87</f>
        <v>19.714285714285715</v>
      </c>
      <c r="X87" s="18" t="s">
        <v>1373</v>
      </c>
    </row>
    <row r="88" spans="1:24" x14ac:dyDescent="0.35">
      <c r="A88" t="s">
        <v>762</v>
      </c>
      <c r="B88" t="s">
        <v>763</v>
      </c>
      <c r="C88">
        <v>1</v>
      </c>
      <c r="D88">
        <v>1</v>
      </c>
      <c r="E88">
        <f>D88+F88</f>
        <v>1</v>
      </c>
      <c r="F88">
        <v>0</v>
      </c>
      <c r="G88">
        <v>0</v>
      </c>
      <c r="H88">
        <v>3</v>
      </c>
      <c r="I88">
        <v>3</v>
      </c>
      <c r="J88" s="3">
        <f>H88/D88</f>
        <v>3</v>
      </c>
      <c r="K88" t="s">
        <v>1454</v>
      </c>
      <c r="L88">
        <v>0</v>
      </c>
      <c r="M88">
        <v>0</v>
      </c>
    </row>
    <row r="89" spans="1:24" x14ac:dyDescent="0.35">
      <c r="A89" t="s">
        <v>764</v>
      </c>
      <c r="B89" t="s">
        <v>521</v>
      </c>
      <c r="C89">
        <v>2</v>
      </c>
      <c r="D89">
        <v>2</v>
      </c>
      <c r="E89">
        <f>D89+F89</f>
        <v>2</v>
      </c>
      <c r="F89">
        <v>0</v>
      </c>
      <c r="G89">
        <v>0</v>
      </c>
      <c r="H89">
        <v>6</v>
      </c>
      <c r="I89">
        <v>4</v>
      </c>
      <c r="J89" s="3">
        <f>H89/D89</f>
        <v>3</v>
      </c>
      <c r="K89" t="s">
        <v>1454</v>
      </c>
      <c r="L89">
        <v>0</v>
      </c>
      <c r="M89">
        <v>0</v>
      </c>
    </row>
    <row r="90" spans="1:24" x14ac:dyDescent="0.35">
      <c r="A90" t="s">
        <v>784</v>
      </c>
      <c r="B90" t="s">
        <v>96</v>
      </c>
      <c r="C90">
        <v>2</v>
      </c>
      <c r="D90">
        <v>2</v>
      </c>
      <c r="E90">
        <f>D90+F90</f>
        <v>2</v>
      </c>
      <c r="F90">
        <v>0</v>
      </c>
      <c r="G90">
        <v>0</v>
      </c>
      <c r="H90">
        <v>33</v>
      </c>
      <c r="I90">
        <v>28</v>
      </c>
      <c r="J90" s="3">
        <f>H90/D90</f>
        <v>16.5</v>
      </c>
      <c r="K90" t="s">
        <v>1454</v>
      </c>
      <c r="L90">
        <v>0</v>
      </c>
      <c r="M90">
        <v>0</v>
      </c>
    </row>
    <row r="91" spans="1:24" x14ac:dyDescent="0.35">
      <c r="A91" s="18" t="s">
        <v>789</v>
      </c>
      <c r="B91" s="18" t="s">
        <v>71</v>
      </c>
      <c r="C91" s="18">
        <v>18</v>
      </c>
      <c r="D91" s="18">
        <v>17</v>
      </c>
      <c r="E91" s="18">
        <f>D91+F91</f>
        <v>18</v>
      </c>
      <c r="F91" s="18">
        <v>1</v>
      </c>
      <c r="G91" s="18">
        <v>0</v>
      </c>
      <c r="H91" s="18">
        <f>208+108</f>
        <v>316</v>
      </c>
      <c r="I91" s="18" t="s">
        <v>1313</v>
      </c>
      <c r="J91" s="19">
        <f>H91/D91</f>
        <v>18.588235294117649</v>
      </c>
      <c r="K91" s="19">
        <f>316/309*100</f>
        <v>102.2653721682848</v>
      </c>
      <c r="L91" s="18">
        <v>1</v>
      </c>
      <c r="M91" s="18">
        <v>0</v>
      </c>
    </row>
    <row r="92" spans="1:24" x14ac:dyDescent="0.35">
      <c r="A92" t="s">
        <v>808</v>
      </c>
      <c r="B92" t="s">
        <v>818</v>
      </c>
      <c r="C92">
        <v>5</v>
      </c>
      <c r="D92">
        <v>3</v>
      </c>
      <c r="E92">
        <f>D92+F92</f>
        <v>5</v>
      </c>
      <c r="F92">
        <v>2</v>
      </c>
      <c r="G92">
        <v>0</v>
      </c>
      <c r="H92">
        <v>40</v>
      </c>
      <c r="I92">
        <v>12</v>
      </c>
      <c r="J92" s="3">
        <f>H92/D92</f>
        <v>13.333333333333334</v>
      </c>
      <c r="K92" s="3">
        <f>12/20*100</f>
        <v>60</v>
      </c>
      <c r="L92">
        <v>0</v>
      </c>
      <c r="M92">
        <v>0</v>
      </c>
    </row>
    <row r="93" spans="1:24" x14ac:dyDescent="0.35">
      <c r="A93" t="s">
        <v>808</v>
      </c>
      <c r="B93" t="s">
        <v>809</v>
      </c>
      <c r="C93">
        <v>7</v>
      </c>
      <c r="D93">
        <v>1</v>
      </c>
      <c r="E93">
        <f>D93+F93</f>
        <v>3</v>
      </c>
      <c r="F93">
        <v>2</v>
      </c>
      <c r="G93">
        <v>4</v>
      </c>
      <c r="H93">
        <v>28</v>
      </c>
      <c r="I93">
        <v>15</v>
      </c>
      <c r="J93" s="3">
        <f>H93/D93</f>
        <v>28</v>
      </c>
      <c r="K93" t="s">
        <v>1454</v>
      </c>
      <c r="L93">
        <v>0</v>
      </c>
      <c r="M93">
        <v>0</v>
      </c>
    </row>
    <row r="94" spans="1:24" x14ac:dyDescent="0.35">
      <c r="A94" t="s">
        <v>843</v>
      </c>
      <c r="B94" t="s">
        <v>156</v>
      </c>
      <c r="C94">
        <v>2</v>
      </c>
      <c r="D94">
        <v>1</v>
      </c>
      <c r="E94">
        <f>D94+F94</f>
        <v>2</v>
      </c>
      <c r="F94">
        <v>1</v>
      </c>
      <c r="G94">
        <v>0</v>
      </c>
      <c r="H94">
        <v>47</v>
      </c>
      <c r="I94" t="s">
        <v>1209</v>
      </c>
      <c r="J94" s="3">
        <f>H94/D94</f>
        <v>47</v>
      </c>
      <c r="K94" t="s">
        <v>1454</v>
      </c>
      <c r="L94">
        <v>0</v>
      </c>
      <c r="M94">
        <v>0</v>
      </c>
    </row>
    <row r="95" spans="1:24" x14ac:dyDescent="0.35">
      <c r="A95" t="s">
        <v>849</v>
      </c>
      <c r="B95" t="s">
        <v>1357</v>
      </c>
      <c r="C95">
        <v>17</v>
      </c>
      <c r="D95">
        <v>12</v>
      </c>
      <c r="E95">
        <f>D95+F95</f>
        <v>14</v>
      </c>
      <c r="F95">
        <v>2</v>
      </c>
      <c r="G95">
        <v>3</v>
      </c>
      <c r="H95">
        <f>147+43</f>
        <v>190</v>
      </c>
      <c r="I95">
        <v>48</v>
      </c>
      <c r="J95" s="3">
        <f>H95/D95</f>
        <v>15.833333333333334</v>
      </c>
      <c r="K95" s="3">
        <f>190/151*100</f>
        <v>125.82781456953643</v>
      </c>
      <c r="L95">
        <v>0</v>
      </c>
      <c r="M95">
        <v>0</v>
      </c>
    </row>
    <row r="96" spans="1:24" x14ac:dyDescent="0.35">
      <c r="A96" t="s">
        <v>1103</v>
      </c>
      <c r="B96" t="s">
        <v>349</v>
      </c>
      <c r="C96">
        <v>1</v>
      </c>
      <c r="D96">
        <v>1</v>
      </c>
      <c r="E96">
        <f>D96+F96</f>
        <v>1</v>
      </c>
      <c r="F96">
        <v>0</v>
      </c>
      <c r="G96">
        <v>0</v>
      </c>
      <c r="H96">
        <v>2</v>
      </c>
      <c r="I96">
        <v>2</v>
      </c>
      <c r="J96" s="3">
        <f>H96/D96</f>
        <v>2</v>
      </c>
      <c r="K96" t="s">
        <v>1454</v>
      </c>
      <c r="L96">
        <v>0</v>
      </c>
      <c r="M96">
        <v>0</v>
      </c>
    </row>
    <row r="97" spans="1:13" x14ac:dyDescent="0.35">
      <c r="A97" t="s">
        <v>858</v>
      </c>
      <c r="B97" t="s">
        <v>859</v>
      </c>
      <c r="C97">
        <v>1</v>
      </c>
      <c r="D97">
        <v>0</v>
      </c>
      <c r="E97">
        <f>D97+F97</f>
        <v>0</v>
      </c>
      <c r="F97">
        <v>0</v>
      </c>
      <c r="G97">
        <v>1</v>
      </c>
      <c r="H97">
        <v>0</v>
      </c>
      <c r="I97">
        <v>0</v>
      </c>
      <c r="J97" s="3" t="e">
        <f>H97/D97</f>
        <v>#DIV/0!</v>
      </c>
      <c r="K97" t="s">
        <v>1454</v>
      </c>
      <c r="L97">
        <v>0</v>
      </c>
      <c r="M97">
        <v>0</v>
      </c>
    </row>
    <row r="98" spans="1:13" x14ac:dyDescent="0.35">
      <c r="A98" t="s">
        <v>1107</v>
      </c>
      <c r="B98" t="s">
        <v>1480</v>
      </c>
      <c r="C98">
        <v>8</v>
      </c>
      <c r="D98">
        <v>8</v>
      </c>
      <c r="E98">
        <f>D98+F98</f>
        <v>8</v>
      </c>
      <c r="F98">
        <v>0</v>
      </c>
      <c r="G98">
        <v>0</v>
      </c>
      <c r="H98">
        <f>126+60</f>
        <v>186</v>
      </c>
      <c r="I98">
        <v>63</v>
      </c>
      <c r="J98" s="3">
        <f>H98/D98</f>
        <v>23.25</v>
      </c>
      <c r="K98" s="3">
        <f>176/125*100</f>
        <v>140.79999999999998</v>
      </c>
      <c r="L98">
        <v>1</v>
      </c>
      <c r="M98">
        <v>0</v>
      </c>
    </row>
    <row r="99" spans="1:13" x14ac:dyDescent="0.35">
      <c r="A99" t="s">
        <v>906</v>
      </c>
      <c r="B99" t="s">
        <v>907</v>
      </c>
      <c r="C99">
        <v>3</v>
      </c>
      <c r="D99">
        <v>2</v>
      </c>
      <c r="E99">
        <f>D99+F99</f>
        <v>2</v>
      </c>
      <c r="F99">
        <v>0</v>
      </c>
      <c r="G99">
        <v>1</v>
      </c>
      <c r="H99">
        <v>21</v>
      </c>
      <c r="I99">
        <v>16</v>
      </c>
      <c r="J99" s="3">
        <f>H99/D99</f>
        <v>10.5</v>
      </c>
      <c r="K99" t="s">
        <v>1454</v>
      </c>
      <c r="L99">
        <v>0</v>
      </c>
      <c r="M99">
        <v>0</v>
      </c>
    </row>
    <row r="100" spans="1:13" x14ac:dyDescent="0.35">
      <c r="A100" t="s">
        <v>915</v>
      </c>
      <c r="B100" t="s">
        <v>94</v>
      </c>
      <c r="C100">
        <v>1</v>
      </c>
      <c r="D100">
        <v>0</v>
      </c>
      <c r="E100">
        <f>D100+F100</f>
        <v>1</v>
      </c>
      <c r="F100">
        <v>1</v>
      </c>
      <c r="G100">
        <v>0</v>
      </c>
      <c r="H100">
        <v>7</v>
      </c>
      <c r="I100" t="s">
        <v>1217</v>
      </c>
      <c r="J100" s="3" t="e">
        <f>H100/D100</f>
        <v>#DIV/0!</v>
      </c>
      <c r="K100" t="s">
        <v>1454</v>
      </c>
      <c r="L100">
        <v>0</v>
      </c>
      <c r="M100">
        <v>0</v>
      </c>
    </row>
    <row r="101" spans="1:13" x14ac:dyDescent="0.35">
      <c r="A101" t="s">
        <v>1365</v>
      </c>
      <c r="B101" t="s">
        <v>1366</v>
      </c>
      <c r="C101">
        <v>2</v>
      </c>
      <c r="D101">
        <v>2</v>
      </c>
      <c r="E101">
        <f>D101+F101</f>
        <v>2</v>
      </c>
      <c r="F101">
        <v>0</v>
      </c>
      <c r="G101">
        <v>0</v>
      </c>
      <c r="H101">
        <v>17</v>
      </c>
      <c r="I101">
        <v>9</v>
      </c>
      <c r="J101" s="3">
        <f>H101/D101</f>
        <v>8.5</v>
      </c>
      <c r="K101" s="3">
        <f>17/18*100</f>
        <v>94.444444444444443</v>
      </c>
      <c r="L101">
        <v>0</v>
      </c>
      <c r="M101">
        <v>0</v>
      </c>
    </row>
    <row r="102" spans="1:13" x14ac:dyDescent="0.35">
      <c r="A102" s="32" t="s">
        <v>930</v>
      </c>
      <c r="B102" t="s">
        <v>384</v>
      </c>
      <c r="C102">
        <v>3</v>
      </c>
      <c r="D102">
        <v>3</v>
      </c>
      <c r="E102">
        <f>D102+F102</f>
        <v>3</v>
      </c>
      <c r="F102">
        <v>0</v>
      </c>
      <c r="G102">
        <v>0</v>
      </c>
      <c r="H102">
        <f>19+14</f>
        <v>33</v>
      </c>
      <c r="I102">
        <v>15</v>
      </c>
      <c r="J102" s="3">
        <f>H102/D102</f>
        <v>11</v>
      </c>
      <c r="K102" t="s">
        <v>1454</v>
      </c>
      <c r="L102">
        <v>0</v>
      </c>
      <c r="M102">
        <v>0</v>
      </c>
    </row>
    <row r="103" spans="1:13" x14ac:dyDescent="0.35">
      <c r="A103" t="s">
        <v>937</v>
      </c>
      <c r="B103" t="s">
        <v>156</v>
      </c>
      <c r="C103">
        <v>7</v>
      </c>
      <c r="D103">
        <v>2</v>
      </c>
      <c r="E103">
        <f>D103+F103</f>
        <v>3</v>
      </c>
      <c r="F103">
        <v>1</v>
      </c>
      <c r="G103">
        <v>4</v>
      </c>
      <c r="H103">
        <v>13</v>
      </c>
      <c r="I103">
        <v>8</v>
      </c>
      <c r="J103" s="3">
        <f>H103/D103</f>
        <v>6.5</v>
      </c>
      <c r="K103" t="s">
        <v>1454</v>
      </c>
      <c r="L103">
        <v>0</v>
      </c>
      <c r="M103">
        <v>0</v>
      </c>
    </row>
    <row r="104" spans="1:13" x14ac:dyDescent="0.35">
      <c r="A104" t="s">
        <v>940</v>
      </c>
      <c r="B104" t="s">
        <v>941</v>
      </c>
      <c r="C104">
        <v>3</v>
      </c>
      <c r="D104">
        <v>3</v>
      </c>
      <c r="E104">
        <f>D104+F104</f>
        <v>3</v>
      </c>
      <c r="F104">
        <v>0</v>
      </c>
      <c r="G104">
        <v>0</v>
      </c>
      <c r="H104">
        <v>33</v>
      </c>
      <c r="I104">
        <v>23</v>
      </c>
      <c r="J104" s="3">
        <f>H104/D104</f>
        <v>11</v>
      </c>
      <c r="K104" t="s">
        <v>1454</v>
      </c>
      <c r="L104">
        <v>0</v>
      </c>
      <c r="M104">
        <v>0</v>
      </c>
    </row>
    <row r="105" spans="1:13" x14ac:dyDescent="0.35">
      <c r="A105" t="s">
        <v>948</v>
      </c>
      <c r="B105" t="s">
        <v>949</v>
      </c>
      <c r="C105">
        <v>1</v>
      </c>
      <c r="D105">
        <v>1</v>
      </c>
      <c r="E105">
        <f>D105+F105</f>
        <v>1</v>
      </c>
      <c r="F105">
        <v>0</v>
      </c>
      <c r="G105">
        <v>0</v>
      </c>
      <c r="H105">
        <v>17</v>
      </c>
      <c r="I105">
        <v>17</v>
      </c>
      <c r="J105" s="3">
        <f>H105/D105</f>
        <v>17</v>
      </c>
      <c r="K105" t="s">
        <v>1454</v>
      </c>
      <c r="L105">
        <v>0</v>
      </c>
      <c r="M105">
        <v>0</v>
      </c>
    </row>
    <row r="106" spans="1:13" x14ac:dyDescent="0.35">
      <c r="A106" s="32" t="s">
        <v>952</v>
      </c>
      <c r="B106" t="s">
        <v>156</v>
      </c>
      <c r="C106">
        <v>2</v>
      </c>
      <c r="D106">
        <v>2</v>
      </c>
      <c r="E106">
        <f>D106+F106</f>
        <v>2</v>
      </c>
      <c r="F106">
        <v>0</v>
      </c>
      <c r="G106">
        <v>0</v>
      </c>
      <c r="H106">
        <v>25</v>
      </c>
      <c r="I106">
        <v>24</v>
      </c>
      <c r="J106" s="3">
        <f>H106/D106</f>
        <v>12.5</v>
      </c>
      <c r="K106" t="s">
        <v>1454</v>
      </c>
      <c r="L106">
        <v>0</v>
      </c>
      <c r="M106">
        <v>0</v>
      </c>
    </row>
    <row r="107" spans="1:13" x14ac:dyDescent="0.35">
      <c r="A107" t="s">
        <v>955</v>
      </c>
      <c r="B107" t="s">
        <v>206</v>
      </c>
      <c r="C107">
        <v>1</v>
      </c>
      <c r="D107">
        <v>0</v>
      </c>
      <c r="E107">
        <f>D107+F107</f>
        <v>0</v>
      </c>
      <c r="F107">
        <v>0</v>
      </c>
      <c r="G107">
        <v>1</v>
      </c>
      <c r="H107">
        <v>0</v>
      </c>
      <c r="I107">
        <v>0</v>
      </c>
      <c r="J107" s="3" t="e">
        <f>H107/D107</f>
        <v>#DIV/0!</v>
      </c>
      <c r="K107" t="s">
        <v>1454</v>
      </c>
      <c r="L107">
        <v>0</v>
      </c>
      <c r="M107">
        <v>0</v>
      </c>
    </row>
    <row r="108" spans="1:13" x14ac:dyDescent="0.35">
      <c r="A108" t="s">
        <v>1481</v>
      </c>
      <c r="B108" t="s">
        <v>829</v>
      </c>
      <c r="C108">
        <v>11</v>
      </c>
      <c r="D108">
        <v>1</v>
      </c>
      <c r="E108">
        <f>D108+F108</f>
        <v>3</v>
      </c>
      <c r="F108">
        <v>2</v>
      </c>
      <c r="G108">
        <v>8</v>
      </c>
      <c r="H108">
        <v>6</v>
      </c>
      <c r="I108" t="s">
        <v>1482</v>
      </c>
      <c r="J108" s="3">
        <f>H108/D108</f>
        <v>6</v>
      </c>
      <c r="K108" t="s">
        <v>1454</v>
      </c>
      <c r="L108">
        <v>0</v>
      </c>
      <c r="M108">
        <v>0</v>
      </c>
    </row>
    <row r="109" spans="1:13" x14ac:dyDescent="0.35">
      <c r="A109" s="18" t="s">
        <v>1338</v>
      </c>
      <c r="B109" s="18" t="s">
        <v>1339</v>
      </c>
      <c r="C109" s="18">
        <v>3</v>
      </c>
      <c r="D109" s="18">
        <v>0</v>
      </c>
      <c r="E109" s="18">
        <f>D109+F109</f>
        <v>2</v>
      </c>
      <c r="F109" s="18">
        <v>2</v>
      </c>
      <c r="G109" s="18">
        <v>1</v>
      </c>
      <c r="H109" s="18">
        <v>14</v>
      </c>
      <c r="I109" s="18" t="s">
        <v>1483</v>
      </c>
      <c r="J109" s="19" t="e">
        <f>H109/D109</f>
        <v>#DIV/0!</v>
      </c>
      <c r="K109" s="19">
        <f>14/14*100</f>
        <v>100</v>
      </c>
      <c r="L109" s="18">
        <v>0</v>
      </c>
      <c r="M109" s="18">
        <v>0</v>
      </c>
    </row>
    <row r="110" spans="1:13" x14ac:dyDescent="0.35">
      <c r="A110" t="s">
        <v>969</v>
      </c>
      <c r="B110" t="s">
        <v>224</v>
      </c>
      <c r="C110">
        <v>13</v>
      </c>
      <c r="D110">
        <v>11</v>
      </c>
      <c r="E110">
        <f>D110+F110</f>
        <v>13</v>
      </c>
      <c r="F110">
        <v>2</v>
      </c>
      <c r="G110">
        <v>0</v>
      </c>
      <c r="H110">
        <f>150+297</f>
        <v>447</v>
      </c>
      <c r="I110" t="s">
        <v>1432</v>
      </c>
      <c r="J110" s="3">
        <f>H110/D110</f>
        <v>40.636363636363633</v>
      </c>
      <c r="K110" s="3">
        <f>447/334*100</f>
        <v>133.8323353293413</v>
      </c>
      <c r="L110">
        <v>2</v>
      </c>
      <c r="M110">
        <v>1</v>
      </c>
    </row>
    <row r="111" spans="1:13" x14ac:dyDescent="0.35">
      <c r="A111" t="s">
        <v>982</v>
      </c>
      <c r="B111" t="s">
        <v>983</v>
      </c>
      <c r="C111">
        <v>2</v>
      </c>
      <c r="D111">
        <v>1</v>
      </c>
      <c r="E111">
        <f>D111+F111</f>
        <v>2</v>
      </c>
      <c r="F111">
        <v>1</v>
      </c>
      <c r="G111">
        <v>0</v>
      </c>
      <c r="H111">
        <v>11</v>
      </c>
      <c r="I111" t="s">
        <v>1257</v>
      </c>
      <c r="J111" s="3">
        <f>H111/D111</f>
        <v>11</v>
      </c>
      <c r="K111" t="s">
        <v>1454</v>
      </c>
      <c r="L111">
        <v>0</v>
      </c>
      <c r="M111">
        <v>0</v>
      </c>
    </row>
    <row r="112" spans="1:13" x14ac:dyDescent="0.35">
      <c r="A112" t="s">
        <v>1484</v>
      </c>
      <c r="B112" t="s">
        <v>1485</v>
      </c>
      <c r="C112">
        <v>2</v>
      </c>
      <c r="D112">
        <v>2</v>
      </c>
      <c r="E112">
        <f>D112+F112</f>
        <v>2</v>
      </c>
      <c r="F112">
        <v>0</v>
      </c>
      <c r="G112">
        <v>0</v>
      </c>
      <c r="H112">
        <v>65</v>
      </c>
      <c r="I112">
        <v>49</v>
      </c>
      <c r="J112" s="3">
        <f>H112/D112</f>
        <v>32.5</v>
      </c>
      <c r="K112" t="s">
        <v>1454</v>
      </c>
      <c r="L112">
        <v>0</v>
      </c>
      <c r="M112">
        <v>0</v>
      </c>
    </row>
    <row r="113" spans="1:13" x14ac:dyDescent="0.35">
      <c r="A113" s="18" t="s">
        <v>996</v>
      </c>
      <c r="B113" s="18" t="s">
        <v>561</v>
      </c>
      <c r="C113" s="18">
        <v>18</v>
      </c>
      <c r="D113" s="18">
        <v>16</v>
      </c>
      <c r="E113" s="18">
        <f>D113+F113</f>
        <v>18</v>
      </c>
      <c r="F113" s="18">
        <v>2</v>
      </c>
      <c r="G113" s="18">
        <v>0</v>
      </c>
      <c r="H113" s="18">
        <f>160+18</f>
        <v>178</v>
      </c>
      <c r="I113" s="18">
        <v>40</v>
      </c>
      <c r="J113" s="19">
        <f>H113/D113</f>
        <v>11.125</v>
      </c>
      <c r="K113" s="19">
        <f>133/160*100</f>
        <v>83.125</v>
      </c>
      <c r="L113" s="18">
        <v>0</v>
      </c>
      <c r="M113" s="18">
        <v>0</v>
      </c>
    </row>
    <row r="114" spans="1:13" x14ac:dyDescent="0.35">
      <c r="A114" s="18" t="s">
        <v>1301</v>
      </c>
      <c r="B114" s="18" t="s">
        <v>1290</v>
      </c>
      <c r="C114" s="18">
        <v>14</v>
      </c>
      <c r="D114" s="18">
        <v>6</v>
      </c>
      <c r="E114" s="18">
        <f>D114+F114</f>
        <v>9</v>
      </c>
      <c r="F114" s="18">
        <v>3</v>
      </c>
      <c r="G114" s="18">
        <v>5</v>
      </c>
      <c r="H114" s="18">
        <v>82</v>
      </c>
      <c r="I114" s="18">
        <v>26</v>
      </c>
      <c r="J114" s="19">
        <f>H114/D114</f>
        <v>13.666666666666666</v>
      </c>
      <c r="K114" s="19">
        <f>82/110*100</f>
        <v>74.545454545454547</v>
      </c>
      <c r="L114" s="18">
        <v>0</v>
      </c>
      <c r="M114" s="18">
        <v>0</v>
      </c>
    </row>
    <row r="115" spans="1:13" x14ac:dyDescent="0.35">
      <c r="A115" s="18" t="s">
        <v>1011</v>
      </c>
      <c r="B115" s="18" t="s">
        <v>726</v>
      </c>
      <c r="C115" s="18">
        <v>6</v>
      </c>
      <c r="D115" s="18">
        <v>5</v>
      </c>
      <c r="E115" s="18">
        <f>D115+F115</f>
        <v>6</v>
      </c>
      <c r="F115" s="18">
        <v>1</v>
      </c>
      <c r="G115" s="18">
        <v>0</v>
      </c>
      <c r="H115" s="18">
        <f>57+19</f>
        <v>76</v>
      </c>
      <c r="I115" s="18">
        <v>44</v>
      </c>
      <c r="J115" s="19">
        <f>H115/D115</f>
        <v>15.2</v>
      </c>
      <c r="K115" s="19">
        <f>63/58*100</f>
        <v>108.62068965517241</v>
      </c>
      <c r="L115" s="18">
        <v>0</v>
      </c>
      <c r="M115" s="18">
        <v>0</v>
      </c>
    </row>
    <row r="116" spans="1:13" x14ac:dyDescent="0.35">
      <c r="A116" t="s">
        <v>1486</v>
      </c>
      <c r="B116" t="s">
        <v>175</v>
      </c>
      <c r="C116">
        <v>1</v>
      </c>
      <c r="D116">
        <v>0</v>
      </c>
      <c r="E116">
        <f>D116+F116</f>
        <v>0</v>
      </c>
      <c r="F116">
        <v>0</v>
      </c>
      <c r="G116">
        <v>1</v>
      </c>
      <c r="H116">
        <v>0</v>
      </c>
      <c r="I116">
        <v>0</v>
      </c>
      <c r="J116" s="3" t="e">
        <f>H116/D116</f>
        <v>#DIV/0!</v>
      </c>
      <c r="K116" t="s">
        <v>1454</v>
      </c>
      <c r="L116">
        <v>0</v>
      </c>
      <c r="M116">
        <v>0</v>
      </c>
    </row>
    <row r="117" spans="1:13" x14ac:dyDescent="0.35">
      <c r="A117" t="s">
        <v>1023</v>
      </c>
      <c r="B117" t="s">
        <v>172</v>
      </c>
      <c r="C117">
        <v>4</v>
      </c>
      <c r="D117">
        <v>2</v>
      </c>
      <c r="E117">
        <f>D117+F117</f>
        <v>2</v>
      </c>
      <c r="F117">
        <v>0</v>
      </c>
      <c r="G117">
        <v>2</v>
      </c>
      <c r="H117">
        <v>19</v>
      </c>
      <c r="I117">
        <v>13</v>
      </c>
      <c r="J117" s="3">
        <f>H117/D117</f>
        <v>9.5</v>
      </c>
      <c r="K117" t="s">
        <v>1454</v>
      </c>
      <c r="L117">
        <v>0</v>
      </c>
      <c r="M117">
        <v>0</v>
      </c>
    </row>
    <row r="118" spans="1:13" x14ac:dyDescent="0.35">
      <c r="A118" t="s">
        <v>1295</v>
      </c>
      <c r="B118" t="s">
        <v>111</v>
      </c>
      <c r="C118">
        <v>5</v>
      </c>
      <c r="D118">
        <v>5</v>
      </c>
      <c r="E118">
        <f>D118+F118</f>
        <v>5</v>
      </c>
      <c r="F118">
        <v>0</v>
      </c>
      <c r="G118">
        <v>0</v>
      </c>
      <c r="H118">
        <v>38</v>
      </c>
      <c r="I118">
        <v>16</v>
      </c>
      <c r="J118" s="3">
        <f>H118/D118</f>
        <v>7.6</v>
      </c>
      <c r="K118" s="3">
        <f>38/48*100</f>
        <v>79.166666666666657</v>
      </c>
      <c r="L118">
        <v>0</v>
      </c>
      <c r="M118">
        <v>0</v>
      </c>
    </row>
    <row r="119" spans="1:13" x14ac:dyDescent="0.35">
      <c r="A119" t="s">
        <v>1031</v>
      </c>
      <c r="B119" t="s">
        <v>45</v>
      </c>
      <c r="C119">
        <v>1</v>
      </c>
      <c r="D119">
        <v>1</v>
      </c>
      <c r="E119">
        <f>D119+F119</f>
        <v>1</v>
      </c>
      <c r="F119">
        <v>0</v>
      </c>
      <c r="G119">
        <v>0</v>
      </c>
      <c r="H119">
        <v>3</v>
      </c>
      <c r="I119">
        <v>3</v>
      </c>
      <c r="J119" s="3">
        <f>H119/D119</f>
        <v>3</v>
      </c>
      <c r="K119" t="s">
        <v>1454</v>
      </c>
      <c r="L119">
        <v>0</v>
      </c>
      <c r="M119">
        <v>0</v>
      </c>
    </row>
    <row r="120" spans="1:13" x14ac:dyDescent="0.35">
      <c r="A120" s="18" t="s">
        <v>1254</v>
      </c>
      <c r="B120" s="18" t="s">
        <v>1487</v>
      </c>
      <c r="C120" s="18">
        <v>2</v>
      </c>
      <c r="D120" s="18">
        <v>2</v>
      </c>
      <c r="E120" s="18">
        <f>D120+F120</f>
        <v>2</v>
      </c>
      <c r="F120" s="18">
        <v>0</v>
      </c>
      <c r="G120" s="18">
        <v>0</v>
      </c>
      <c r="H120" s="18">
        <v>15</v>
      </c>
      <c r="I120" s="18">
        <v>12</v>
      </c>
      <c r="J120" s="19">
        <f>H120/D120</f>
        <v>7.5</v>
      </c>
      <c r="K120" s="19">
        <f>15/18*100</f>
        <v>83.333333333333343</v>
      </c>
      <c r="L120" s="18">
        <v>0</v>
      </c>
      <c r="M120" s="18">
        <v>0</v>
      </c>
    </row>
    <row r="121" spans="1:13" x14ac:dyDescent="0.35">
      <c r="A121" t="s">
        <v>1047</v>
      </c>
      <c r="B121" t="s">
        <v>1105</v>
      </c>
      <c r="C121">
        <v>1</v>
      </c>
      <c r="D121">
        <v>1</v>
      </c>
      <c r="E121">
        <f>D121+F121</f>
        <v>1</v>
      </c>
      <c r="F121">
        <v>0</v>
      </c>
      <c r="G121">
        <v>0</v>
      </c>
      <c r="H121">
        <v>0</v>
      </c>
      <c r="I121">
        <v>0</v>
      </c>
      <c r="J121" s="3">
        <f>H121/D121</f>
        <v>0</v>
      </c>
      <c r="K121" t="s">
        <v>1454</v>
      </c>
      <c r="L121">
        <v>0</v>
      </c>
      <c r="M121">
        <v>0</v>
      </c>
    </row>
    <row r="122" spans="1:13" x14ac:dyDescent="0.35">
      <c r="A122" s="18" t="s">
        <v>1360</v>
      </c>
      <c r="B122" s="18" t="s">
        <v>224</v>
      </c>
      <c r="C122" s="18">
        <v>13</v>
      </c>
      <c r="D122" s="18">
        <v>5</v>
      </c>
      <c r="E122" s="18">
        <f>D122+F122</f>
        <v>7</v>
      </c>
      <c r="F122" s="18">
        <v>2</v>
      </c>
      <c r="G122" s="18">
        <v>6</v>
      </c>
      <c r="H122" s="18">
        <v>26</v>
      </c>
      <c r="I122" s="18" t="s">
        <v>1488</v>
      </c>
      <c r="J122" s="19">
        <f>H122/D122</f>
        <v>5.2</v>
      </c>
      <c r="K122" s="19">
        <f>26/26*100</f>
        <v>100</v>
      </c>
      <c r="L122" s="18">
        <v>0</v>
      </c>
      <c r="M122" s="18">
        <v>0</v>
      </c>
    </row>
    <row r="123" spans="1:13" x14ac:dyDescent="0.35">
      <c r="A123" t="s">
        <v>1078</v>
      </c>
      <c r="B123" t="s">
        <v>452</v>
      </c>
      <c r="C123">
        <v>1</v>
      </c>
      <c r="D123">
        <v>0</v>
      </c>
      <c r="E123">
        <f>D123+F123</f>
        <v>0</v>
      </c>
      <c r="F123">
        <v>0</v>
      </c>
      <c r="G123">
        <v>1</v>
      </c>
      <c r="H123">
        <v>0</v>
      </c>
      <c r="I123">
        <v>0</v>
      </c>
      <c r="J123" s="3" t="e">
        <f>H123/D123</f>
        <v>#DIV/0!</v>
      </c>
      <c r="K123" t="s">
        <v>1454</v>
      </c>
      <c r="L123">
        <v>0</v>
      </c>
      <c r="M123">
        <v>0</v>
      </c>
    </row>
    <row r="124" spans="1:13" x14ac:dyDescent="0.35">
      <c r="A124" s="18" t="s">
        <v>1084</v>
      </c>
      <c r="B124" s="18" t="s">
        <v>176</v>
      </c>
      <c r="C124" s="18">
        <v>9</v>
      </c>
      <c r="D124" s="18">
        <v>4</v>
      </c>
      <c r="E124" s="18">
        <f>D124+F124</f>
        <v>8</v>
      </c>
      <c r="F124" s="18">
        <v>4</v>
      </c>
      <c r="G124" s="18">
        <v>1</v>
      </c>
      <c r="H124" s="18">
        <v>94</v>
      </c>
      <c r="I124" s="18">
        <v>21</v>
      </c>
      <c r="J124" s="19">
        <f>H124/D124</f>
        <v>23.5</v>
      </c>
      <c r="K124" s="18" t="s">
        <v>1454</v>
      </c>
      <c r="L124" s="18">
        <v>0</v>
      </c>
      <c r="M124" s="18">
        <v>0</v>
      </c>
    </row>
  </sheetData>
  <sortState xmlns:xlrd2="http://schemas.microsoft.com/office/spreadsheetml/2017/richdata2" ref="AA2:AG71">
    <sortCondition ref="AA2:AA7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E964-F72B-4DD0-BDB1-D297A9B46CE1}">
  <dimension ref="A1:S23"/>
  <sheetViews>
    <sheetView workbookViewId="0">
      <selection activeCell="Q26" sqref="Q26"/>
    </sheetView>
  </sheetViews>
  <sheetFormatPr defaultRowHeight="14.5" x14ac:dyDescent="0.35"/>
  <cols>
    <col min="1" max="1" width="17.7265625" bestFit="1" customWidth="1"/>
    <col min="2" max="2" width="9.90625" bestFit="1" customWidth="1"/>
    <col min="3" max="3" width="8.453125" bestFit="1" customWidth="1"/>
    <col min="4" max="4" width="12.453125" bestFit="1" customWidth="1"/>
    <col min="6" max="6" width="9.54296875" bestFit="1" customWidth="1"/>
    <col min="7" max="7" width="11.453125" bestFit="1" customWidth="1"/>
    <col min="8" max="8" width="11.26953125" bestFit="1" customWidth="1"/>
    <col min="9" max="9" width="9.54296875" bestFit="1" customWidth="1"/>
    <col min="11" max="11" width="11.90625" bestFit="1" customWidth="1"/>
    <col min="12" max="12" width="9.90625" bestFit="1" customWidth="1"/>
    <col min="13" max="13" width="9.6328125" bestFit="1" customWidth="1"/>
    <col min="14" max="14" width="11.90625" bestFit="1" customWidth="1"/>
    <col min="16" max="16" width="11.90625" bestFit="1" customWidth="1"/>
    <col min="17" max="17" width="12" bestFit="1" customWidth="1"/>
    <col min="18" max="18" width="11.26953125" bestFit="1" customWidth="1"/>
    <col min="19" max="19" width="11.90625" bestFit="1" customWidth="1"/>
  </cols>
  <sheetData>
    <row r="1" spans="1:19" x14ac:dyDescent="0.35">
      <c r="A1" t="s">
        <v>1302</v>
      </c>
      <c r="F1" t="s">
        <v>1203</v>
      </c>
      <c r="K1" t="s">
        <v>1306</v>
      </c>
      <c r="P1" t="s">
        <v>1307</v>
      </c>
    </row>
    <row r="3" spans="1:19" x14ac:dyDescent="0.35">
      <c r="B3" t="s">
        <v>1303</v>
      </c>
      <c r="D3" t="s">
        <v>1304</v>
      </c>
      <c r="G3" t="s">
        <v>1303</v>
      </c>
      <c r="I3" t="s">
        <v>1203</v>
      </c>
      <c r="L3" t="s">
        <v>1303</v>
      </c>
      <c r="N3" t="s">
        <v>1306</v>
      </c>
      <c r="Q3" t="s">
        <v>1303</v>
      </c>
      <c r="S3" t="s">
        <v>1307</v>
      </c>
    </row>
    <row r="4" spans="1:19" x14ac:dyDescent="0.35">
      <c r="A4">
        <v>1</v>
      </c>
      <c r="B4" s="18" t="s">
        <v>538</v>
      </c>
      <c r="C4" s="18" t="s">
        <v>539</v>
      </c>
      <c r="D4" s="18">
        <v>50</v>
      </c>
      <c r="F4">
        <v>1</v>
      </c>
      <c r="G4" t="s">
        <v>969</v>
      </c>
      <c r="H4" t="s">
        <v>224</v>
      </c>
      <c r="I4">
        <v>447</v>
      </c>
      <c r="K4">
        <v>1</v>
      </c>
      <c r="L4" s="18" t="s">
        <v>538</v>
      </c>
      <c r="M4" s="18" t="s">
        <v>539</v>
      </c>
      <c r="N4" s="18">
        <v>49</v>
      </c>
      <c r="P4">
        <v>1</v>
      </c>
      <c r="Q4" s="18" t="s">
        <v>173</v>
      </c>
      <c r="R4" s="18" t="s">
        <v>222</v>
      </c>
      <c r="S4" s="18">
        <v>17</v>
      </c>
    </row>
    <row r="5" spans="1:19" x14ac:dyDescent="0.35">
      <c r="A5">
        <v>2</v>
      </c>
      <c r="B5" t="s">
        <v>280</v>
      </c>
      <c r="C5" t="s">
        <v>281</v>
      </c>
      <c r="D5">
        <v>21</v>
      </c>
      <c r="F5">
        <v>2</v>
      </c>
      <c r="G5" t="s">
        <v>260</v>
      </c>
      <c r="H5" t="s">
        <v>452</v>
      </c>
      <c r="I5">
        <v>395</v>
      </c>
      <c r="K5">
        <v>2</v>
      </c>
      <c r="L5" t="s">
        <v>280</v>
      </c>
      <c r="M5" t="s">
        <v>41</v>
      </c>
      <c r="N5">
        <v>42</v>
      </c>
      <c r="P5">
        <v>2</v>
      </c>
      <c r="Q5" s="18" t="s">
        <v>1511</v>
      </c>
      <c r="R5" s="18" t="s">
        <v>539</v>
      </c>
      <c r="S5" s="18">
        <v>16</v>
      </c>
    </row>
    <row r="6" spans="1:19" x14ac:dyDescent="0.35">
      <c r="A6">
        <v>3</v>
      </c>
      <c r="B6" t="s">
        <v>280</v>
      </c>
      <c r="C6" t="s">
        <v>41</v>
      </c>
      <c r="D6">
        <v>21</v>
      </c>
      <c r="F6">
        <v>3</v>
      </c>
      <c r="G6" s="18" t="s">
        <v>538</v>
      </c>
      <c r="H6" s="18" t="s">
        <v>539</v>
      </c>
      <c r="I6" s="18">
        <v>389</v>
      </c>
      <c r="K6">
        <v>3</v>
      </c>
      <c r="L6" s="18" t="s">
        <v>1358</v>
      </c>
      <c r="M6" s="18" t="s">
        <v>1359</v>
      </c>
      <c r="N6" s="18">
        <v>26</v>
      </c>
      <c r="P6">
        <v>3</v>
      </c>
      <c r="Q6" s="18" t="s">
        <v>996</v>
      </c>
      <c r="R6" s="18" t="s">
        <v>561</v>
      </c>
      <c r="S6" s="18">
        <v>9</v>
      </c>
    </row>
    <row r="7" spans="1:19" x14ac:dyDescent="0.35">
      <c r="A7">
        <v>4</v>
      </c>
      <c r="B7" s="18" t="s">
        <v>789</v>
      </c>
      <c r="C7" s="18" t="s">
        <v>71</v>
      </c>
      <c r="D7" s="18">
        <v>18</v>
      </c>
      <c r="F7">
        <v>4</v>
      </c>
      <c r="G7" t="s">
        <v>383</v>
      </c>
      <c r="H7" t="s">
        <v>387</v>
      </c>
      <c r="I7">
        <v>365</v>
      </c>
      <c r="K7">
        <v>4</v>
      </c>
      <c r="L7" t="s">
        <v>849</v>
      </c>
      <c r="M7" t="s">
        <v>1357</v>
      </c>
      <c r="N7">
        <v>20</v>
      </c>
      <c r="P7">
        <v>4</v>
      </c>
      <c r="Q7" t="s">
        <v>487</v>
      </c>
      <c r="R7" t="s">
        <v>97</v>
      </c>
      <c r="S7">
        <v>9</v>
      </c>
    </row>
    <row r="8" spans="1:19" x14ac:dyDescent="0.35">
      <c r="A8">
        <v>5</v>
      </c>
      <c r="B8" s="18" t="s">
        <v>996</v>
      </c>
      <c r="C8" s="18" t="s">
        <v>561</v>
      </c>
      <c r="D8" s="18">
        <v>18</v>
      </c>
      <c r="F8">
        <v>5</v>
      </c>
      <c r="G8" s="18" t="s">
        <v>173</v>
      </c>
      <c r="H8" s="18" t="s">
        <v>222</v>
      </c>
      <c r="I8" s="18">
        <v>355</v>
      </c>
      <c r="K8">
        <v>5</v>
      </c>
      <c r="L8" s="18" t="s">
        <v>1360</v>
      </c>
      <c r="M8" s="18" t="s">
        <v>224</v>
      </c>
      <c r="N8" s="18">
        <v>18</v>
      </c>
      <c r="P8">
        <v>5</v>
      </c>
      <c r="Q8" t="s">
        <v>849</v>
      </c>
      <c r="R8" t="s">
        <v>1357</v>
      </c>
      <c r="S8">
        <v>9</v>
      </c>
    </row>
    <row r="9" spans="1:19" x14ac:dyDescent="0.35">
      <c r="A9">
        <v>6</v>
      </c>
      <c r="B9" s="18" t="s">
        <v>1358</v>
      </c>
      <c r="C9" s="18" t="s">
        <v>1359</v>
      </c>
      <c r="D9" s="18">
        <v>17</v>
      </c>
      <c r="F9">
        <v>6</v>
      </c>
      <c r="G9" s="18" t="s">
        <v>789</v>
      </c>
      <c r="H9" s="18" t="s">
        <v>71</v>
      </c>
      <c r="I9" s="18">
        <v>316</v>
      </c>
      <c r="K9">
        <v>6</v>
      </c>
      <c r="L9" t="s">
        <v>197</v>
      </c>
      <c r="M9" t="s">
        <v>198</v>
      </c>
      <c r="N9">
        <v>15</v>
      </c>
      <c r="P9">
        <v>6</v>
      </c>
      <c r="Q9" t="s">
        <v>280</v>
      </c>
      <c r="R9" t="s">
        <v>41</v>
      </c>
      <c r="S9">
        <v>9</v>
      </c>
    </row>
    <row r="10" spans="1:19" x14ac:dyDescent="0.35">
      <c r="A10">
        <v>7</v>
      </c>
      <c r="B10" s="18" t="s">
        <v>1195</v>
      </c>
      <c r="C10" s="18" t="s">
        <v>110</v>
      </c>
      <c r="D10" s="18">
        <v>17</v>
      </c>
      <c r="F10">
        <v>7</v>
      </c>
      <c r="G10" s="32" t="s">
        <v>280</v>
      </c>
      <c r="H10" s="32" t="s">
        <v>281</v>
      </c>
      <c r="I10">
        <v>295</v>
      </c>
      <c r="K10">
        <v>7</v>
      </c>
      <c r="L10" t="s">
        <v>257</v>
      </c>
      <c r="M10" t="s">
        <v>165</v>
      </c>
      <c r="N10">
        <v>12</v>
      </c>
      <c r="P10">
        <v>7</v>
      </c>
      <c r="Q10" s="18" t="s">
        <v>789</v>
      </c>
      <c r="R10" s="18" t="s">
        <v>71</v>
      </c>
      <c r="S10" s="18">
        <v>7</v>
      </c>
    </row>
    <row r="11" spans="1:19" x14ac:dyDescent="0.35">
      <c r="A11">
        <v>8</v>
      </c>
      <c r="B11" t="s">
        <v>260</v>
      </c>
      <c r="C11" t="s">
        <v>452</v>
      </c>
      <c r="D11">
        <v>17</v>
      </c>
      <c r="F11">
        <v>8</v>
      </c>
      <c r="G11" t="s">
        <v>280</v>
      </c>
      <c r="H11" t="s">
        <v>41</v>
      </c>
      <c r="I11">
        <v>252</v>
      </c>
      <c r="K11">
        <v>8</v>
      </c>
      <c r="L11" t="s">
        <v>722</v>
      </c>
      <c r="M11" t="s">
        <v>769</v>
      </c>
      <c r="N11">
        <v>12</v>
      </c>
      <c r="P11">
        <v>8</v>
      </c>
      <c r="Q11" s="18" t="s">
        <v>1301</v>
      </c>
      <c r="R11" s="18" t="s">
        <v>1290</v>
      </c>
      <c r="S11" s="18">
        <v>6</v>
      </c>
    </row>
    <row r="12" spans="1:19" x14ac:dyDescent="0.35">
      <c r="A12">
        <v>9</v>
      </c>
      <c r="B12" t="s">
        <v>849</v>
      </c>
      <c r="C12" t="s">
        <v>1357</v>
      </c>
      <c r="D12">
        <v>17</v>
      </c>
      <c r="F12">
        <v>9</v>
      </c>
      <c r="G12" t="s">
        <v>331</v>
      </c>
      <c r="H12" t="s">
        <v>332</v>
      </c>
      <c r="I12">
        <v>231</v>
      </c>
      <c r="K12">
        <v>9</v>
      </c>
      <c r="L12" t="s">
        <v>280</v>
      </c>
      <c r="M12" t="s">
        <v>281</v>
      </c>
      <c r="N12">
        <v>11</v>
      </c>
      <c r="P12">
        <v>9</v>
      </c>
      <c r="Q12" s="18" t="s">
        <v>1358</v>
      </c>
      <c r="R12" s="18" t="s">
        <v>1359</v>
      </c>
      <c r="S12" s="18">
        <v>5</v>
      </c>
    </row>
    <row r="13" spans="1:19" x14ac:dyDescent="0.35">
      <c r="A13">
        <v>10</v>
      </c>
      <c r="B13" t="s">
        <v>383</v>
      </c>
      <c r="C13" t="s">
        <v>387</v>
      </c>
      <c r="D13">
        <v>16</v>
      </c>
      <c r="F13">
        <v>10</v>
      </c>
      <c r="G13" t="s">
        <v>25</v>
      </c>
      <c r="H13" t="s">
        <v>26</v>
      </c>
      <c r="I13">
        <v>215</v>
      </c>
      <c r="K13">
        <v>10</v>
      </c>
      <c r="L13" t="s">
        <v>41</v>
      </c>
      <c r="M13" t="s">
        <v>293</v>
      </c>
      <c r="N13">
        <v>11</v>
      </c>
      <c r="P13">
        <v>10</v>
      </c>
      <c r="Q13" t="s">
        <v>1107</v>
      </c>
      <c r="R13" t="s">
        <v>1480</v>
      </c>
      <c r="S13">
        <v>5</v>
      </c>
    </row>
    <row r="14" spans="1:19" x14ac:dyDescent="0.35">
      <c r="A14">
        <v>11</v>
      </c>
      <c r="B14" t="s">
        <v>331</v>
      </c>
      <c r="C14" t="s">
        <v>332</v>
      </c>
      <c r="D14">
        <v>15</v>
      </c>
      <c r="F14">
        <v>11</v>
      </c>
      <c r="G14" t="s">
        <v>543</v>
      </c>
      <c r="H14" t="s">
        <v>268</v>
      </c>
      <c r="I14">
        <v>191</v>
      </c>
      <c r="K14">
        <v>11</v>
      </c>
      <c r="L14" s="18" t="s">
        <v>470</v>
      </c>
      <c r="M14" s="18" t="s">
        <v>556</v>
      </c>
      <c r="N14" s="18">
        <v>11</v>
      </c>
      <c r="P14">
        <v>11</v>
      </c>
      <c r="Q14" s="18" t="s">
        <v>1195</v>
      </c>
      <c r="R14" s="18" t="s">
        <v>110</v>
      </c>
      <c r="S14" s="18">
        <v>5</v>
      </c>
    </row>
    <row r="15" spans="1:19" x14ac:dyDescent="0.35">
      <c r="A15">
        <v>12</v>
      </c>
      <c r="B15" t="s">
        <v>469</v>
      </c>
      <c r="C15" t="s">
        <v>146</v>
      </c>
      <c r="D15">
        <v>15</v>
      </c>
      <c r="F15">
        <v>12</v>
      </c>
      <c r="G15" t="s">
        <v>849</v>
      </c>
      <c r="H15" t="s">
        <v>1357</v>
      </c>
      <c r="I15">
        <v>190</v>
      </c>
      <c r="K15">
        <v>12</v>
      </c>
      <c r="L15" t="s">
        <v>84</v>
      </c>
      <c r="M15" t="s">
        <v>85</v>
      </c>
      <c r="N15">
        <v>10</v>
      </c>
      <c r="P15">
        <v>12</v>
      </c>
      <c r="Q15" t="s">
        <v>469</v>
      </c>
      <c r="R15" t="s">
        <v>146</v>
      </c>
      <c r="S15">
        <v>4</v>
      </c>
    </row>
    <row r="16" spans="1:19" x14ac:dyDescent="0.35">
      <c r="A16">
        <v>13</v>
      </c>
      <c r="B16" t="s">
        <v>257</v>
      </c>
      <c r="C16" t="s">
        <v>165</v>
      </c>
      <c r="D16">
        <v>14</v>
      </c>
      <c r="F16">
        <v>13</v>
      </c>
      <c r="G16" t="s">
        <v>1107</v>
      </c>
      <c r="H16" t="s">
        <v>1480</v>
      </c>
      <c r="I16">
        <v>186</v>
      </c>
      <c r="K16">
        <v>13</v>
      </c>
      <c r="L16" t="s">
        <v>487</v>
      </c>
      <c r="M16" t="s">
        <v>97</v>
      </c>
      <c r="N16">
        <v>10</v>
      </c>
      <c r="P16">
        <v>13</v>
      </c>
      <c r="Q16" t="s">
        <v>383</v>
      </c>
      <c r="R16" t="s">
        <v>387</v>
      </c>
      <c r="S16">
        <v>4</v>
      </c>
    </row>
    <row r="17" spans="1:19" x14ac:dyDescent="0.35">
      <c r="A17">
        <v>14</v>
      </c>
      <c r="B17" s="18" t="s">
        <v>1301</v>
      </c>
      <c r="C17" s="18" t="s">
        <v>1290</v>
      </c>
      <c r="D17" s="18">
        <v>14</v>
      </c>
      <c r="F17">
        <v>14</v>
      </c>
      <c r="G17" s="18" t="s">
        <v>1195</v>
      </c>
      <c r="H17" s="18" t="s">
        <v>110</v>
      </c>
      <c r="I17" s="18">
        <v>182</v>
      </c>
      <c r="K17">
        <v>14</v>
      </c>
      <c r="L17" t="s">
        <v>1456</v>
      </c>
      <c r="M17" t="s">
        <v>1110</v>
      </c>
      <c r="N17">
        <v>9</v>
      </c>
      <c r="P17">
        <v>14</v>
      </c>
      <c r="Q17" s="18" t="s">
        <v>297</v>
      </c>
      <c r="R17" s="18" t="s">
        <v>97</v>
      </c>
      <c r="S17" s="18">
        <v>4</v>
      </c>
    </row>
    <row r="18" spans="1:19" x14ac:dyDescent="0.35">
      <c r="A18">
        <v>15</v>
      </c>
      <c r="B18" t="s">
        <v>197</v>
      </c>
      <c r="C18" t="s">
        <v>198</v>
      </c>
      <c r="D18">
        <v>13</v>
      </c>
      <c r="F18">
        <v>15</v>
      </c>
      <c r="G18" s="18" t="s">
        <v>996</v>
      </c>
      <c r="H18" s="18" t="s">
        <v>561</v>
      </c>
      <c r="I18" s="18">
        <v>178</v>
      </c>
      <c r="K18">
        <v>15</v>
      </c>
      <c r="L18" t="s">
        <v>331</v>
      </c>
      <c r="M18" t="s">
        <v>332</v>
      </c>
      <c r="N18">
        <v>9</v>
      </c>
      <c r="P18">
        <v>15</v>
      </c>
      <c r="Q18" s="18" t="s">
        <v>1311</v>
      </c>
      <c r="R18" s="18" t="s">
        <v>20</v>
      </c>
      <c r="S18" s="18">
        <v>4</v>
      </c>
    </row>
    <row r="19" spans="1:19" x14ac:dyDescent="0.35">
      <c r="A19">
        <v>16</v>
      </c>
      <c r="B19" t="s">
        <v>487</v>
      </c>
      <c r="C19" t="s">
        <v>97</v>
      </c>
      <c r="D19">
        <v>13</v>
      </c>
      <c r="F19">
        <v>16</v>
      </c>
      <c r="G19" t="s">
        <v>1465</v>
      </c>
      <c r="H19" t="s">
        <v>285</v>
      </c>
      <c r="I19">
        <v>174</v>
      </c>
      <c r="K19">
        <v>16</v>
      </c>
      <c r="L19" t="s">
        <v>447</v>
      </c>
      <c r="M19" t="s">
        <v>156</v>
      </c>
      <c r="N19">
        <v>9</v>
      </c>
      <c r="P19">
        <v>16</v>
      </c>
      <c r="Q19" t="s">
        <v>260</v>
      </c>
      <c r="R19" t="s">
        <v>452</v>
      </c>
      <c r="S19">
        <v>4</v>
      </c>
    </row>
    <row r="20" spans="1:19" x14ac:dyDescent="0.35">
      <c r="A20">
        <v>17</v>
      </c>
      <c r="B20" t="s">
        <v>969</v>
      </c>
      <c r="C20" t="s">
        <v>224</v>
      </c>
      <c r="D20">
        <v>13</v>
      </c>
      <c r="F20">
        <v>17</v>
      </c>
      <c r="G20" s="18" t="s">
        <v>297</v>
      </c>
      <c r="H20" s="18" t="s">
        <v>97</v>
      </c>
      <c r="I20" s="18">
        <v>168</v>
      </c>
      <c r="K20">
        <v>17</v>
      </c>
      <c r="L20" t="s">
        <v>1184</v>
      </c>
      <c r="M20" t="s">
        <v>1185</v>
      </c>
      <c r="N20">
        <v>8</v>
      </c>
      <c r="P20">
        <v>17</v>
      </c>
      <c r="Q20" t="s">
        <v>257</v>
      </c>
      <c r="R20" t="s">
        <v>165</v>
      </c>
      <c r="S20">
        <v>3</v>
      </c>
    </row>
    <row r="21" spans="1:19" x14ac:dyDescent="0.35">
      <c r="A21">
        <v>18</v>
      </c>
      <c r="B21" s="18" t="s">
        <v>1360</v>
      </c>
      <c r="C21" s="18" t="s">
        <v>224</v>
      </c>
      <c r="D21" s="18">
        <v>13</v>
      </c>
      <c r="F21">
        <v>18</v>
      </c>
      <c r="G21" t="s">
        <v>27</v>
      </c>
      <c r="H21" t="s">
        <v>31</v>
      </c>
      <c r="I21">
        <v>165</v>
      </c>
      <c r="K21">
        <v>18</v>
      </c>
      <c r="L21" s="18" t="s">
        <v>1084</v>
      </c>
      <c r="M21" s="18" t="s">
        <v>176</v>
      </c>
      <c r="N21" s="18">
        <v>7</v>
      </c>
      <c r="P21">
        <v>18</v>
      </c>
      <c r="Q21" s="18" t="s">
        <v>470</v>
      </c>
      <c r="R21" s="18" t="s">
        <v>556</v>
      </c>
      <c r="S21" s="18">
        <v>3</v>
      </c>
    </row>
    <row r="22" spans="1:19" x14ac:dyDescent="0.35">
      <c r="A22">
        <v>19</v>
      </c>
      <c r="B22" s="18" t="s">
        <v>173</v>
      </c>
      <c r="C22" s="18" t="s">
        <v>222</v>
      </c>
      <c r="D22" s="18">
        <v>12</v>
      </c>
      <c r="F22">
        <v>19</v>
      </c>
      <c r="G22" t="s">
        <v>1184</v>
      </c>
      <c r="H22" t="s">
        <v>1185</v>
      </c>
      <c r="I22">
        <v>133</v>
      </c>
      <c r="K22">
        <v>19</v>
      </c>
      <c r="L22" s="18" t="s">
        <v>297</v>
      </c>
      <c r="M22" s="18" t="s">
        <v>97</v>
      </c>
      <c r="N22" s="18">
        <v>6</v>
      </c>
      <c r="P22">
        <v>19</v>
      </c>
      <c r="Q22" s="18" t="s">
        <v>607</v>
      </c>
      <c r="R22" s="18" t="s">
        <v>353</v>
      </c>
      <c r="S22" s="18">
        <v>3</v>
      </c>
    </row>
    <row r="23" spans="1:19" x14ac:dyDescent="0.35">
      <c r="A23">
        <v>20</v>
      </c>
      <c r="B23" s="18" t="s">
        <v>200</v>
      </c>
      <c r="C23" s="18" t="s">
        <v>201</v>
      </c>
      <c r="D23" s="18">
        <v>12</v>
      </c>
      <c r="F23">
        <v>20</v>
      </c>
      <c r="G23" t="s">
        <v>33</v>
      </c>
      <c r="H23" t="s">
        <v>35</v>
      </c>
      <c r="I23">
        <v>127</v>
      </c>
      <c r="K23">
        <v>20</v>
      </c>
      <c r="L23" s="18" t="s">
        <v>1011</v>
      </c>
      <c r="M23" s="18" t="s">
        <v>726</v>
      </c>
      <c r="N23" s="18">
        <v>6</v>
      </c>
      <c r="P23">
        <v>20</v>
      </c>
      <c r="Q23" s="18" t="s">
        <v>1389</v>
      </c>
      <c r="R23" s="18" t="s">
        <v>1290</v>
      </c>
      <c r="S23" s="18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All Time Rankings</vt:lpstr>
      <vt:lpstr>Active Rankings</vt:lpstr>
      <vt:lpstr>T20 Totals</vt:lpstr>
      <vt:lpstr>All Time T20 Rankings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Maiolo</dc:creator>
  <cp:lastModifiedBy>Matthew Maiolo</cp:lastModifiedBy>
  <dcterms:created xsi:type="dcterms:W3CDTF">2024-01-16T01:17:12Z</dcterms:created>
  <dcterms:modified xsi:type="dcterms:W3CDTF">2025-08-31T06:00:57Z</dcterms:modified>
</cp:coreProperties>
</file>